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Users\eholland\Dropbox\Bar Triangle-Chico - 4% May 2023\"/>
    </mc:Choice>
  </mc:AlternateContent>
  <xr:revisionPtr revIDLastSave="0" documentId="13_ncr:1_{81345BB0-D4F7-4178-8D21-0F37B90A7CC3}" xr6:coauthVersionLast="47" xr6:coauthVersionMax="47" xr10:uidLastSave="{00000000-0000-0000-0000-000000000000}"/>
  <bookViews>
    <workbookView xWindow="2868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4" l="1"/>
  <c r="C47" i="4"/>
  <c r="C83" i="4"/>
  <c r="F30" i="4" l="1"/>
  <c r="F29" i="4" s="1"/>
  <c r="E29" i="4" s="1"/>
  <c r="E37" i="4"/>
  <c r="AF623" i="3"/>
  <c r="S10" i="4"/>
  <c r="S95" i="4"/>
  <c r="S94" i="4"/>
  <c r="S93" i="4"/>
  <c r="S92" i="4"/>
  <c r="S90" i="4"/>
  <c r="S89" i="4"/>
  <c r="S86" i="4"/>
  <c r="S85" i="4"/>
  <c r="S84" i="4"/>
  <c r="S99" i="4"/>
  <c r="E95" i="4"/>
  <c r="E94" i="4"/>
  <c r="E93" i="4"/>
  <c r="E92" i="4"/>
  <c r="E91" i="4"/>
  <c r="E90" i="4"/>
  <c r="E89" i="4"/>
  <c r="E88" i="4"/>
  <c r="E86" i="4"/>
  <c r="E85" i="4"/>
  <c r="E84" i="4"/>
  <c r="E83" i="4"/>
  <c r="S43" i="4"/>
  <c r="S40" i="4"/>
  <c r="E43" i="4"/>
  <c r="E40" i="4"/>
  <c r="E80" i="4"/>
  <c r="E79" i="4"/>
  <c r="E75" i="4"/>
  <c r="E69" i="4"/>
  <c r="E65" i="4"/>
  <c r="E57" i="4"/>
  <c r="E56" i="4"/>
  <c r="E53" i="4"/>
  <c r="E52" i="4"/>
  <c r="E51" i="4"/>
  <c r="E50" i="4"/>
  <c r="E48" i="4"/>
  <c r="E47" i="4"/>
  <c r="E46" i="4"/>
  <c r="E45" i="4"/>
  <c r="E35" i="4"/>
  <c r="E32" i="4"/>
  <c r="E31" i="4"/>
  <c r="E10" i="4"/>
  <c r="E4" i="4"/>
  <c r="M928" i="3"/>
  <c r="Y815" i="3"/>
  <c r="U815" i="3"/>
  <c r="Q815" i="3"/>
  <c r="O728" i="3"/>
  <c r="O727" i="3"/>
  <c r="O726" i="3"/>
  <c r="O725" i="3"/>
  <c r="O724" i="3"/>
  <c r="O723" i="3"/>
  <c r="O722" i="3"/>
  <c r="O721" i="3"/>
  <c r="O720" i="3"/>
  <c r="O719" i="3"/>
  <c r="O718" i="3"/>
  <c r="O717" i="3"/>
  <c r="O716" i="3"/>
  <c r="O715" i="3"/>
  <c r="O714" i="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8"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11" i="8"/>
  <c r="J12" i="8"/>
  <c r="J13" i="8"/>
  <c r="J14"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DX608" i="3" s="1"/>
  <c r="BN609" i="3"/>
  <c r="DX609" i="3" s="1"/>
  <c r="BN610" i="3"/>
  <c r="DX610" i="3" s="1"/>
  <c r="BN611" i="3"/>
  <c r="BN612" i="3"/>
  <c r="BN613" i="3"/>
  <c r="BN614" i="3"/>
  <c r="DX614" i="3" s="1"/>
  <c r="BN615" i="3"/>
  <c r="BN616" i="3"/>
  <c r="DX616" i="3" s="1"/>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CC598" i="3"/>
  <c r="CC599" i="3"/>
  <c r="CC600" i="3"/>
  <c r="EM600" i="3" s="1"/>
  <c r="CC601" i="3"/>
  <c r="EM601" i="3" s="1"/>
  <c r="CC602" i="3"/>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ER613" i="3" s="1"/>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X636" i="3"/>
  <c r="CX638" i="3"/>
  <c r="CX641" i="3"/>
  <c r="DC634"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AH722" i="3" s="1"/>
  <c r="X722" i="3"/>
  <c r="BA665" i="3"/>
  <c r="AH723" i="3" s="1"/>
  <c r="X723" i="3"/>
  <c r="BA663" i="3"/>
  <c r="X721" i="3"/>
  <c r="AH721" i="3" s="1"/>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11" i="4" s="1"/>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4" i="13"/>
  <c r="E3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S37" i="4" s="1"/>
  <c r="E37" i="13" s="1"/>
  <c r="R35" i="4"/>
  <c r="S35" i="4" s="1"/>
  <c r="E35" i="13" s="1"/>
  <c r="R34" i="4"/>
  <c r="R33" i="4"/>
  <c r="R32" i="4"/>
  <c r="S32" i="4" s="1"/>
  <c r="E32" i="13" s="1"/>
  <c r="R31" i="4"/>
  <c r="S31" i="4" s="1"/>
  <c r="E31" i="13" s="1"/>
  <c r="R30" i="4"/>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D47" i="11" s="1"/>
  <c r="B48" i="11"/>
  <c r="B49" i="11"/>
  <c r="B50" i="11"/>
  <c r="B51" i="11"/>
  <c r="D51" i="11"/>
  <c r="B52" i="11"/>
  <c r="D52" i="11" s="1"/>
  <c r="B53" i="11"/>
  <c r="C48" i="11"/>
  <c r="C49" i="11"/>
  <c r="C50" i="11"/>
  <c r="C51" i="11"/>
  <c r="C52" i="11"/>
  <c r="C53" i="11"/>
  <c r="D53" i="11" s="1"/>
  <c r="B57" i="11"/>
  <c r="D57" i="11" s="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D100" i="11" s="1"/>
  <c r="C100" i="11"/>
  <c r="A4" i="8"/>
  <c r="D4" i="8"/>
  <c r="I4" i="8"/>
  <c r="J4" i="8" s="1"/>
  <c r="A5" i="8"/>
  <c r="D5" i="8"/>
  <c r="I5" i="8"/>
  <c r="J5" i="8" s="1"/>
  <c r="A6" i="8"/>
  <c r="D6" i="8"/>
  <c r="I6" i="8"/>
  <c r="A7" i="8"/>
  <c r="D7" i="8"/>
  <c r="I7" i="8"/>
  <c r="A8" i="8"/>
  <c r="D8" i="8"/>
  <c r="I8" i="8"/>
  <c r="A9" i="8"/>
  <c r="D9" i="8"/>
  <c r="I9" i="8"/>
  <c r="J9" i="8" s="1"/>
  <c r="A10" i="8"/>
  <c r="D10" i="8"/>
  <c r="I10" i="8"/>
  <c r="J10" i="8" s="1"/>
  <c r="A11" i="8"/>
  <c r="D11" i="8"/>
  <c r="I11" i="8"/>
  <c r="A12" i="8"/>
  <c r="D12" i="8"/>
  <c r="I12" i="8"/>
  <c r="A13" i="8"/>
  <c r="D13" i="8"/>
  <c r="I13" i="8"/>
  <c r="A14" i="8"/>
  <c r="D14" i="8"/>
  <c r="I14" i="8"/>
  <c r="A15" i="8"/>
  <c r="D15" i="8"/>
  <c r="I15" i="8"/>
  <c r="J15" i="8" s="1"/>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1" i="3"/>
  <c r="DX602" i="3"/>
  <c r="DX603" i="3"/>
  <c r="DX604" i="3"/>
  <c r="DX605" i="3"/>
  <c r="DX607" i="3"/>
  <c r="DX611" i="3"/>
  <c r="DX612" i="3"/>
  <c r="DX613" i="3"/>
  <c r="DX615" i="3"/>
  <c r="DX617" i="3"/>
  <c r="DX618" i="3"/>
  <c r="DX619" i="3"/>
  <c r="DX620" i="3"/>
  <c r="EC596" i="3"/>
  <c r="EC597" i="3"/>
  <c r="EC598" i="3"/>
  <c r="EC602" i="3"/>
  <c r="EC603" i="3"/>
  <c r="EC604" i="3"/>
  <c r="EC605" i="3"/>
  <c r="EC611" i="3"/>
  <c r="EC613" i="3"/>
  <c r="EC614" i="3"/>
  <c r="EC615"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2" i="3"/>
  <c r="EM605" i="3"/>
  <c r="EM607" i="3"/>
  <c r="EM608" i="3"/>
  <c r="EM610" i="3"/>
  <c r="EM614" i="3"/>
  <c r="EM615" i="3"/>
  <c r="EM616" i="3"/>
  <c r="EM618" i="3"/>
  <c r="EW597" i="3"/>
  <c r="EW599" i="3"/>
  <c r="EW600" i="3"/>
  <c r="EW602" i="3"/>
  <c r="EW603" i="3"/>
  <c r="EW605" i="3"/>
  <c r="EW609" i="3"/>
  <c r="EW610" i="3"/>
  <c r="EW611" i="3"/>
  <c r="EW615" i="3"/>
  <c r="EW616" i="3"/>
  <c r="EW617" i="3"/>
  <c r="ER596" i="3"/>
  <c r="ER598" i="3"/>
  <c r="ER599" i="3"/>
  <c r="ER600" i="3"/>
  <c r="ER602" i="3"/>
  <c r="ER608" i="3"/>
  <c r="ER609" i="3"/>
  <c r="ER610" i="3"/>
  <c r="ER612" i="3"/>
  <c r="ER614" i="3"/>
  <c r="ER615" i="3"/>
  <c r="ER616" i="3"/>
  <c r="ER617" i="3"/>
  <c r="ER620" i="3"/>
  <c r="C11" i="4"/>
  <c r="B26" i="13"/>
  <c r="C38" i="4"/>
  <c r="B38" i="13" s="1"/>
  <c r="C54" i="4"/>
  <c r="B54" i="4" s="1"/>
  <c r="C62" i="4"/>
  <c r="B62" i="13" s="1"/>
  <c r="C77" i="4"/>
  <c r="B77" i="13" s="1"/>
  <c r="C96" i="4"/>
  <c r="B96" i="13" s="1"/>
  <c r="B104" i="13"/>
  <c r="D8" i="4"/>
  <c r="D11" i="4"/>
  <c r="D26" i="4"/>
  <c r="D38" i="4"/>
  <c r="D42" i="4"/>
  <c r="D54" i="4"/>
  <c r="D62" i="4"/>
  <c r="D77" i="4"/>
  <c r="D96" i="4"/>
  <c r="D104" i="4"/>
  <c r="B104" i="4"/>
  <c r="AO637" i="3"/>
  <c r="E26"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AH717" i="3" s="1"/>
  <c r="G663" i="3"/>
  <c r="Z663" i="3"/>
  <c r="BA660" i="3"/>
  <c r="AH718" i="3" s="1"/>
  <c r="BA661" i="3"/>
  <c r="BA662" i="3"/>
  <c r="G671" i="3"/>
  <c r="Z671" i="3"/>
  <c r="BA668" i="3"/>
  <c r="AH726" i="3" s="1"/>
  <c r="BA669" i="3"/>
  <c r="BA670" i="3"/>
  <c r="AH728" i="3" s="1"/>
  <c r="BA671" i="3"/>
  <c r="BA672" i="3"/>
  <c r="BA673" i="3"/>
  <c r="BA674" i="3"/>
  <c r="BA675" i="3"/>
  <c r="G679" i="3"/>
  <c r="Z679" i="3"/>
  <c r="BA676" i="3"/>
  <c r="BA677" i="3"/>
  <c r="BA678" i="3"/>
  <c r="BA679" i="3"/>
  <c r="BA680" i="3"/>
  <c r="X714" i="3"/>
  <c r="X715" i="3"/>
  <c r="X716" i="3"/>
  <c r="AH716" i="3" s="1"/>
  <c r="X717" i="3"/>
  <c r="X718" i="3"/>
  <c r="X719" i="3"/>
  <c r="X720" i="3"/>
  <c r="AH720" i="3" s="1"/>
  <c r="X726" i="3"/>
  <c r="X727" i="3"/>
  <c r="X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J63" i="13"/>
  <c r="J97" i="13"/>
  <c r="J105" i="13"/>
  <c r="J107" i="13"/>
  <c r="L12" i="4"/>
  <c r="D48" i="11"/>
  <c r="D93" i="11"/>
  <c r="D5" i="11"/>
  <c r="D70" i="11"/>
  <c r="D80" i="11"/>
  <c r="I12" i="4"/>
  <c r="G12" i="4"/>
  <c r="D6" i="11"/>
  <c r="L63" i="4"/>
  <c r="L97" i="4"/>
  <c r="L105" i="4"/>
  <c r="Q12" i="4"/>
  <c r="B11" i="4"/>
  <c r="O63" i="4"/>
  <c r="O97" i="4"/>
  <c r="O105" i="4"/>
  <c r="D18" i="11"/>
  <c r="R70" i="4"/>
  <c r="B8" i="4"/>
  <c r="N158" i="26" s="1"/>
  <c r="N164" i="26" s="1"/>
  <c r="D10" i="11"/>
  <c r="D36" i="11"/>
  <c r="G63" i="13"/>
  <c r="G97" i="13"/>
  <c r="G105" i="13"/>
  <c r="G107" i="13"/>
  <c r="D61" i="11"/>
  <c r="D20" i="11"/>
  <c r="D8" i="11"/>
  <c r="D85" i="11"/>
  <c r="B43" i="11"/>
  <c r="D43" i="11" s="1"/>
  <c r="D102" i="11"/>
  <c r="D94" i="11"/>
  <c r="K12" i="4"/>
  <c r="C43" i="11"/>
  <c r="C12" i="13"/>
  <c r="D63" i="4"/>
  <c r="D97" i="4"/>
  <c r="D105" i="4"/>
  <c r="B78" i="11"/>
  <c r="D7" i="11"/>
  <c r="F63" i="4"/>
  <c r="F97" i="4" s="1"/>
  <c r="F105" i="4" s="1"/>
  <c r="J12" i="4"/>
  <c r="D22" i="11"/>
  <c r="O12" i="4"/>
  <c r="I63" i="4"/>
  <c r="I97" i="4"/>
  <c r="I105" i="4"/>
  <c r="D25" i="11"/>
  <c r="B11" i="13"/>
  <c r="D12" i="4"/>
  <c r="R77" i="4"/>
  <c r="H12" i="4"/>
  <c r="B9" i="11"/>
  <c r="D9" i="11" s="1"/>
  <c r="D23" i="11"/>
  <c r="D19" i="11"/>
  <c r="D89" i="11"/>
  <c r="D73" i="11"/>
  <c r="D44" i="11"/>
  <c r="D35" i="11"/>
  <c r="D76" i="11"/>
  <c r="D31" i="11"/>
  <c r="D32" i="11"/>
  <c r="D15" i="11"/>
  <c r="D63" i="13"/>
  <c r="D97" i="13"/>
  <c r="D105" i="13"/>
  <c r="D14" i="11"/>
  <c r="Q63" i="4"/>
  <c r="Q97" i="4"/>
  <c r="Q105" i="4"/>
  <c r="C105" i="11"/>
  <c r="N63" i="4"/>
  <c r="N97" i="4"/>
  <c r="N105" i="4"/>
  <c r="N12" i="4"/>
  <c r="H63" i="4"/>
  <c r="H97" i="4" s="1"/>
  <c r="H105" i="4" s="1"/>
  <c r="F12" i="4"/>
  <c r="D60" i="11"/>
  <c r="M12" i="4"/>
  <c r="R8" i="4"/>
  <c r="D84" i="11"/>
  <c r="D74" i="11"/>
  <c r="D59" i="11"/>
  <c r="D38" i="11"/>
  <c r="R42" i="4"/>
  <c r="P63" i="4"/>
  <c r="P97" i="4"/>
  <c r="P105" i="4"/>
  <c r="C63" i="11"/>
  <c r="B63" i="11"/>
  <c r="D63" i="11" s="1"/>
  <c r="C9" i="11"/>
  <c r="D12" i="13"/>
  <c r="D58" i="11"/>
  <c r="D62" i="11"/>
  <c r="D24" i="11"/>
  <c r="D101" i="11"/>
  <c r="D90" i="11"/>
  <c r="R62" i="4"/>
  <c r="D66" i="11"/>
  <c r="C63" i="13"/>
  <c r="C97" i="13"/>
  <c r="C105" i="13"/>
  <c r="D92" i="11"/>
  <c r="D75" i="11"/>
  <c r="B71" i="11"/>
  <c r="D28" i="11"/>
  <c r="D103" i="11"/>
  <c r="D88" i="11"/>
  <c r="C78" i="11"/>
  <c r="D42" i="11"/>
  <c r="D21" i="11"/>
  <c r="D16" i="11"/>
  <c r="B12" i="11"/>
  <c r="R26" i="4"/>
  <c r="D81" i="11"/>
  <c r="D86" i="11"/>
  <c r="F63" i="13"/>
  <c r="F97" i="13"/>
  <c r="F105" i="13"/>
  <c r="F107" i="13"/>
  <c r="AH719" i="3"/>
  <c r="AD199" i="20"/>
  <c r="D77" i="11"/>
  <c r="C71" i="11"/>
  <c r="M63" i="4"/>
  <c r="M97" i="4"/>
  <c r="M105" i="4"/>
  <c r="R104" i="4"/>
  <c r="G63" i="4"/>
  <c r="G97" i="4" s="1"/>
  <c r="G105" i="4" s="1"/>
  <c r="D91" i="11"/>
  <c r="J63" i="4"/>
  <c r="J97" i="4"/>
  <c r="J105" i="4"/>
  <c r="D41" i="11"/>
  <c r="C12" i="11"/>
  <c r="C13" i="11" s="1"/>
  <c r="K63" i="4"/>
  <c r="K97" i="4"/>
  <c r="K105" i="4"/>
  <c r="B62" i="4"/>
  <c r="R96" i="4"/>
  <c r="B105" i="11"/>
  <c r="AD7" i="15"/>
  <c r="K28" i="7"/>
  <c r="O28" i="7"/>
  <c r="I28" i="7"/>
  <c r="W28" i="7"/>
  <c r="S28" i="7"/>
  <c r="Y28" i="7"/>
  <c r="AC28" i="7"/>
  <c r="AG28" i="7"/>
  <c r="M28" i="7"/>
  <c r="G28" i="7"/>
  <c r="AA28" i="7"/>
  <c r="Q28" i="7"/>
  <c r="U28" i="7"/>
  <c r="D104" i="11"/>
  <c r="E12" i="4"/>
  <c r="B96" i="4"/>
  <c r="T63" i="4"/>
  <c r="T97" i="4"/>
  <c r="D11" i="11"/>
  <c r="C12" i="4"/>
  <c r="B12" i="13" s="1"/>
  <c r="D78" i="11"/>
  <c r="B12" i="4"/>
  <c r="D12" i="11"/>
  <c r="D30" i="8"/>
  <c r="H63" i="13"/>
  <c r="T105" i="4"/>
  <c r="H97" i="13"/>
  <c r="D96" i="11"/>
  <c r="T107" i="4"/>
  <c r="H105" i="13"/>
  <c r="H107" i="13"/>
  <c r="AD11" i="15"/>
  <c r="AZ835" i="3"/>
  <c r="AK172" i="20"/>
  <c r="B55" i="11" l="1"/>
  <c r="B82" i="11"/>
  <c r="C82" i="11"/>
  <c r="D82" i="11" s="1"/>
  <c r="B97" i="11"/>
  <c r="C97" i="11"/>
  <c r="D97" i="11" s="1"/>
  <c r="D71" i="11"/>
  <c r="D46" i="11"/>
  <c r="B38" i="4"/>
  <c r="B39" i="11"/>
  <c r="C39" i="11"/>
  <c r="R38" i="4"/>
  <c r="R63" i="4" s="1"/>
  <c r="S30" i="4"/>
  <c r="AB223" i="20"/>
  <c r="AB239" i="20" s="1"/>
  <c r="AB241" i="20" s="1"/>
  <c r="AB243" i="20" s="1"/>
  <c r="AB249" i="20" s="1"/>
  <c r="AD198" i="20" s="1"/>
  <c r="AD200" i="20" s="1"/>
  <c r="B42" i="13"/>
  <c r="D105" i="11"/>
  <c r="D87" i="11"/>
  <c r="R81" i="4"/>
  <c r="R54" i="4"/>
  <c r="B54" i="13"/>
  <c r="C55" i="11"/>
  <c r="E63" i="4"/>
  <c r="E97" i="4" s="1"/>
  <c r="E105" i="4" s="1"/>
  <c r="C27" i="11"/>
  <c r="R12" i="4"/>
  <c r="B63" i="4"/>
  <c r="B13" i="11"/>
  <c r="D13" i="11" s="1"/>
  <c r="C63" i="4"/>
  <c r="B63" i="13" s="1"/>
  <c r="AH727" i="3"/>
  <c r="BA973" i="3"/>
  <c r="I1013" i="3" s="1"/>
  <c r="AG40" i="7"/>
  <c r="AG43" i="7" s="1"/>
  <c r="AH715" i="3"/>
  <c r="Q30" i="21" a="1"/>
  <c r="Q30" i="21" s="1"/>
  <c r="G40" i="7"/>
  <c r="G43" i="7" s="1"/>
  <c r="R44" i="2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G53" i="21"/>
  <c r="E24" i="21"/>
  <c r="E22" i="21"/>
  <c r="F22" i="21" s="1"/>
  <c r="G30" i="8"/>
  <c r="I15" i="7"/>
  <c r="AI11" i="15"/>
  <c r="E26" i="21"/>
  <c r="E23" i="21"/>
  <c r="F23" i="21" s="1"/>
  <c r="G23" i="21" s="1"/>
  <c r="B64" i="11" l="1"/>
  <c r="B98" i="11"/>
  <c r="B106" i="11" s="1"/>
  <c r="D55" i="11"/>
  <c r="EC628" i="3"/>
  <c r="R97" i="4"/>
  <c r="R105" i="4" s="1"/>
  <c r="C64" i="11"/>
  <c r="D64" i="11" s="1"/>
  <c r="D39" i="11"/>
  <c r="E30" i="13"/>
  <c r="S38" i="4"/>
  <c r="Z793" i="3"/>
  <c r="M930" i="3"/>
  <c r="M931" i="3" s="1"/>
  <c r="AS351" i="20"/>
  <c r="AS347" i="20" s="1"/>
  <c r="AK458" i="20" s="1"/>
  <c r="T802" i="20" s="1"/>
  <c r="AF802" i="20" s="1"/>
  <c r="C97" i="4"/>
  <c r="C105" i="4" s="1"/>
  <c r="AG258" i="20" s="1"/>
  <c r="AC869" i="3"/>
  <c r="T800" i="20"/>
  <c r="AF800" i="20" s="1"/>
  <c r="Y27" i="15"/>
  <c r="AI27" i="15"/>
  <c r="T789" i="20"/>
  <c r="AF789" i="20" s="1"/>
  <c r="AK78" i="20"/>
  <c r="AI23" i="15"/>
  <c r="AI26" i="15" s="1"/>
  <c r="E35" i="7"/>
  <c r="T27" i="15"/>
  <c r="BH702" i="3"/>
  <c r="BI702" i="3" s="1"/>
  <c r="Y784" i="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38" i="13" l="1"/>
  <c r="S63" i="4"/>
  <c r="B105" i="4"/>
  <c r="AB47" i="15" s="1"/>
  <c r="AB49" i="15" s="1"/>
  <c r="AB54" i="15" s="1"/>
  <c r="AB55" i="15" s="1"/>
  <c r="AC454" i="3"/>
  <c r="B97" i="13"/>
  <c r="B97" i="4"/>
  <c r="B105" i="13"/>
  <c r="O22" i="21"/>
  <c r="P22" i="21" s="1" a="1"/>
  <c r="P22" i="21" s="1"/>
  <c r="R22" i="21" s="1"/>
  <c r="O20" i="21"/>
  <c r="P20" i="21" s="1" a="1"/>
  <c r="P20" i="21" s="1"/>
  <c r="R20" i="21" s="1"/>
  <c r="O24" i="21"/>
  <c r="P24" i="21" s="1" a="1"/>
  <c r="P24" i="21" s="1"/>
  <c r="R24" i="21" s="1"/>
  <c r="O31" i="21"/>
  <c r="P31" i="21" s="1" a="1"/>
  <c r="P31" i="21" s="1"/>
  <c r="R31" i="21" s="1"/>
  <c r="O34" i="21"/>
  <c r="P34" i="21" s="1" a="1"/>
  <c r="P34" i="21" s="1"/>
  <c r="R34" i="21" s="1"/>
  <c r="O28" i="21"/>
  <c r="P28" i="21" s="1" a="1"/>
  <c r="P28" i="21" s="1"/>
  <c r="R28" i="21" s="1"/>
  <c r="O32" i="21"/>
  <c r="P32" i="21" s="1" a="1"/>
  <c r="P32" i="21" s="1"/>
  <c r="R32" i="21" s="1"/>
  <c r="O33" i="21"/>
  <c r="P33" i="21" s="1" a="1"/>
  <c r="P33" i="21" s="1"/>
  <c r="R33" i="21" s="1"/>
  <c r="O27" i="21"/>
  <c r="P27" i="21" s="1" a="1"/>
  <c r="P27" i="21" s="1"/>
  <c r="R27" i="21" s="1"/>
  <c r="O26" i="21"/>
  <c r="P26" i="21" s="1" a="1"/>
  <c r="P26" i="21" s="1"/>
  <c r="R26" i="21" s="1"/>
  <c r="O21" i="21"/>
  <c r="P21" i="21" s="1" a="1"/>
  <c r="P21" i="21" s="1"/>
  <c r="R21" i="21" s="1"/>
  <c r="O30" i="21"/>
  <c r="P30" i="21" s="1" a="1"/>
  <c r="P30" i="21" s="1"/>
  <c r="R30" i="21" s="1"/>
  <c r="O25" i="21"/>
  <c r="P25" i="21" s="1" a="1"/>
  <c r="P25" i="21" s="1"/>
  <c r="R25" i="21" s="1"/>
  <c r="AW116" i="20"/>
  <c r="O23" i="21"/>
  <c r="P23" i="21" s="1" a="1"/>
  <c r="P23" i="21" s="1"/>
  <c r="R23" i="21" s="1"/>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97" i="4" l="1"/>
  <c r="E63" i="13"/>
  <c r="N154" i="26"/>
  <c r="N165" i="26" s="1"/>
  <c r="AB255" i="20"/>
  <c r="AG257" i="20" s="1"/>
  <c r="AG259" i="20" s="1"/>
  <c r="AK262" i="20" s="1"/>
  <c r="T797" i="20" s="1"/>
  <c r="AF797" i="20" s="1"/>
  <c r="AC453" i="3"/>
  <c r="F456" i="3" s="1"/>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J1006" i="3" l="1"/>
  <c r="AJ963" i="3"/>
  <c r="I13" i="21" s="1"/>
  <c r="S105" i="4"/>
  <c r="E97" i="13"/>
  <c r="B1025" i="3"/>
  <c r="AJ1010" i="3"/>
  <c r="AP541" i="20" s="1"/>
  <c r="AJ1014" i="3"/>
  <c r="AP542" i="20" s="1"/>
  <c r="K4" i="7"/>
  <c r="M4" i="7" s="1"/>
  <c r="E45" i="7"/>
  <c r="E48" i="7" s="1"/>
  <c r="AP539" i="20"/>
  <c r="G45" i="7"/>
  <c r="G49" i="7"/>
  <c r="K6" i="7"/>
  <c r="I7" i="7"/>
  <c r="I11" i="7" s="1"/>
  <c r="I37" i="7" s="1"/>
  <c r="G24" i="21"/>
  <c r="F27" i="21"/>
  <c r="G27" i="21"/>
  <c r="O22" i="7"/>
  <c r="O35" i="7" s="1"/>
  <c r="Q15" i="7"/>
  <c r="O9" i="7"/>
  <c r="Q8" i="7"/>
  <c r="AJ1018" i="3" l="1"/>
  <c r="T24" i="15" s="1"/>
  <c r="AP543" i="20"/>
  <c r="E105" i="13"/>
  <c r="S107" i="4"/>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C455" i="3"/>
  <c r="E107" i="13"/>
  <c r="AF540" i="20"/>
  <c r="AF542" i="20" s="1"/>
  <c r="AK548" i="20" s="1"/>
  <c r="T803" i="20" s="1"/>
  <c r="AF803" i="20" s="1"/>
  <c r="AF806"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11" i="15" l="1"/>
  <c r="T23" i="15" s="1"/>
  <c r="Y11" i="15"/>
  <c r="Y23" i="15" s="1"/>
  <c r="Y26" i="15" s="1"/>
  <c r="Y28"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38" i="15" l="1"/>
  <c r="AD40" i="15" s="1"/>
  <c r="T26" i="15"/>
  <c r="T28" i="15" s="1"/>
  <c r="T29" i="15" s="1"/>
  <c r="Y64" i="15"/>
  <c r="Y68" i="15" s="1"/>
  <c r="U4" i="7"/>
  <c r="S5" i="7"/>
  <c r="M48" i="7"/>
  <c r="M47" i="7"/>
  <c r="M60" i="7"/>
  <c r="O45" i="7"/>
  <c r="O49" i="7"/>
  <c r="K66" i="7"/>
  <c r="K67" i="7"/>
  <c r="K62" i="7"/>
  <c r="Q7" i="7"/>
  <c r="Q11" i="7" s="1"/>
  <c r="Q37" i="7" s="1"/>
  <c r="S6" i="7"/>
  <c r="I70" i="7"/>
  <c r="I72" i="7" s="1"/>
  <c r="W22" i="7"/>
  <c r="W35" i="7" s="1"/>
  <c r="Y15" i="7"/>
  <c r="W9" i="7"/>
  <c r="Y8" i="7"/>
  <c r="Y38" i="15" l="1"/>
  <c r="Y40" i="15" s="1"/>
  <c r="Y41" i="15" s="1"/>
  <c r="AB56" i="15" s="1"/>
  <c r="U5" i="7"/>
  <c r="W4" i="7"/>
  <c r="Q49" i="7"/>
  <c r="Q45" i="7"/>
  <c r="M62" i="7"/>
  <c r="M67" i="7"/>
  <c r="M66" i="7"/>
  <c r="O47" i="7"/>
  <c r="O48" i="7"/>
  <c r="O60" i="7"/>
  <c r="K70" i="7"/>
  <c r="K72" i="7" s="1"/>
  <c r="S7" i="7"/>
  <c r="S11" i="7" s="1"/>
  <c r="S37" i="7" s="1"/>
  <c r="U6" i="7"/>
  <c r="Y22" i="7"/>
  <c r="Y35" i="7" s="1"/>
  <c r="AA15" i="7"/>
  <c r="Y9" i="7"/>
  <c r="AA8" i="7"/>
  <c r="M26" i="3" l="1"/>
  <c r="P203" i="3" s="1"/>
  <c r="AB57" i="15"/>
  <c r="AB59" i="15" s="1"/>
  <c r="AB76" i="15" s="1"/>
  <c r="AB77" i="15" s="1"/>
  <c r="AB78" i="15" s="1"/>
  <c r="M70" i="7"/>
  <c r="M72" i="7" s="1"/>
  <c r="W5" i="7"/>
  <c r="Y4" i="7"/>
  <c r="U7" i="7"/>
  <c r="U11" i="7" s="1"/>
  <c r="U37" i="7" s="1"/>
  <c r="W6" i="7"/>
  <c r="O67" i="7"/>
  <c r="O66" i="7"/>
  <c r="O62" i="7"/>
  <c r="Q60" i="7"/>
  <c r="Q48" i="7"/>
  <c r="Q47" i="7"/>
  <c r="S49" i="7"/>
  <c r="S45" i="7"/>
  <c r="AC15" i="7"/>
  <c r="AA22" i="7"/>
  <c r="AA35" i="7" s="1"/>
  <c r="AC8" i="7"/>
  <c r="AA9" i="7"/>
  <c r="AB80" i="15" l="1"/>
  <c r="J81" i="15" s="1"/>
  <c r="I10" i="21"/>
  <c r="I11" i="21" s="1"/>
  <c r="I16" i="21" s="1"/>
  <c r="H4" i="21" s="1"/>
  <c r="H5" i="21" s="1"/>
  <c r="M27" i="3"/>
  <c r="P204"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29F2A511-D072-43DE-A68D-38574119C749}">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<sst xmlns="http://schemas.openxmlformats.org/spreadsheetml/2006/main" count="5199" uniqueCount="2742">
  <si>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</si>
  <si>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</si>
  <si>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</si>
  <si>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</si>
  <si>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</si>
  <si>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</si>
  <si>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</si>
  <si>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</si>
  <si>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</si>
  <si>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</si>
  <si>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</si>
  <si>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</si>
  <si>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</si>
  <si>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</si>
  <si>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</si>
  <si>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</si>
  <si>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</si>
  <si>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</si>
  <si>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</si>
  <si>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</si>
  <si>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</si>
  <si>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</si>
  <si>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</si>
  <si>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</si>
  <si>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</si>
  <si>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</si>
  <si>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</si>
  <si>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</si>
  <si>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</si>
  <si>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</si>
  <si>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</si>
  <si>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</si>
  <si>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</si>
  <si>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</si>
  <si>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</si>
  <si>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</si>
  <si>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</si>
  <si>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</si>
  <si>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</si>
  <si>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</si>
  <si>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</si>
  <si>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</si>
  <si>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</si>
  <si>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</si>
  <si>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</si>
  <si>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</si>
  <si>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</si>
  <si>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</si>
  <si>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</si>
  <si>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</si>
  <si>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</si>
  <si>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</si>
  <si>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</si>
  <si>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</si>
  <si>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</si>
  <si>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</si>
  <si>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</si>
  <si>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</si>
  <si>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</si>
  <si>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</si>
  <si>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</si>
  <si>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</si>
  <si>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</si>
  <si>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</si>
  <si>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</si>
  <si>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</si>
  <si>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</si>
  <si>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</si>
  <si>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</si>
  <si>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</si>
  <si>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</si>
  <si>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</si>
  <si>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</si>
  <si>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</si>
  <si>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</si>
  <si>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</si>
  <si>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</si>
  <si>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</si>
  <si>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</si>
  <si>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</si>
  <si>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</si>
  <si>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</si>
  <si>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</si>
  <si>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</si>
  <si>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</si>
  <si>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</si>
  <si>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</si>
  <si>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</si>
  <si>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</si>
  <si>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</si>
  <si>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</si>
  <si>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</si>
  <si>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</si>
  <si>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</si>
  <si>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</si>
  <si>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</si>
  <si>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</si>
  <si>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</si>
  <si>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</si>
  <si>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</si>
  <si>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</si>
  <si>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</si>
  <si>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</si>
  <si>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</si>
  <si>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</si>
  <si>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</si>
  <si>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</si>
  <si>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</si>
  <si>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</si>
  <si>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</si>
  <si>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</si>
  <si>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</si>
  <si>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</si>
  <si>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</si>
  <si>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</si>
  <si>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</si>
  <si>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</si>
  <si>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</si>
  <si>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</si>
  <si>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</si>
  <si>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</si>
  <si>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</si>
  <si>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</si>
  <si>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</si>
  <si>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</si>
  <si>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</si>
  <si>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</si>
  <si>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</si>
  <si>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</si>
  <si>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</si>
  <si>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</si>
  <si>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</si>
  <si>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</si>
  <si>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</si>
  <si>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</si>
  <si>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</si>
  <si>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</si>
  <si>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</si>
  <si>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</si>
  <si>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</si>
  <si>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</si>
  <si>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</si>
  <si>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</si>
  <si>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</si>
  <si>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</si>
  <si>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</si>
  <si>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</si>
  <si>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</si>
  <si>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</si>
  <si>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</si>
  <si>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</si>
  <si>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</si>
  <si>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</si>
  <si>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</si>
  <si>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</si>
  <si>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</si>
  <si>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</si>
  <si>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</si>
  <si>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</si>
  <si>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</si>
  <si>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</si>
  <si>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</si>
  <si>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</si>
  <si>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</si>
  <si>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</si>
  <si>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</si>
  <si>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</si>
  <si>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</si>
  <si>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</si>
  <si>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</si>
  <si>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</si>
  <si>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</si>
  <si>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</si>
  <si>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</si>
  <si>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</si>
  <si>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</si>
  <si>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</si>
  <si>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</si>
  <si>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</si>
  <si>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</si>
  <si>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</si>
  <si>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</si>
  <si>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</si>
  <si>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</si>
  <si>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</si>
  <si>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</si>
  <si>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</si>
  <si>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</si>
  <si>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</si>
  <si>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</si>
  <si>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</si>
  <si>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</si>
  <si>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</si>
  <si>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</si>
  <si>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</si>
  <si>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</si>
  <si>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</si>
  <si>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</si>
  <si>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</si>
  <si>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</si>
  <si>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</si>
  <si>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</si>
  <si>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</si>
  <si>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</si>
  <si>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</si>
  <si>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</si>
  <si>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</si>
  <si>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</si>
  <si>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</si>
  <si>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</si>
  <si>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</si>
  <si>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</si>
  <si>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</si>
  <si>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</si>
  <si>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</si>
  <si>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</si>
  <si>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</si>
  <si>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</si>
  <si>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</si>
  <si>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</si>
  <si>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</si>
  <si>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</si>
  <si>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</si>
  <si>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</si>
  <si>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</si>
  <si>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</si>
  <si>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</si>
  <si>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</si>
  <si>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</si>
  <si>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</si>
  <si>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</si>
  <si>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</si>
  <si>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</si>
  <si>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</si>
  <si>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</si>
  <si>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</si>
  <si>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</si>
  <si>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</si>
  <si>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</si>
  <si>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</si>
  <si>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</si>
  <si>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</si>
  <si>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</si>
  <si>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</si>
  <si>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</si>
  <si>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</si>
  <si>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</si>
  <si>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</si>
  <si>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</si>
  <si>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</si>
  <si>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</si>
  <si>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</si>
  <si>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</si>
  <si>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</si>
  <si>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</si>
  <si>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</si>
  <si>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</si>
  <si>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</si>
  <si>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</si>
  <si>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</si>
  <si>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</si>
  <si>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</si>
  <si>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</si>
  <si>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</si>
  <si>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</si>
  <si>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</si>
  <si>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</si>
  <si>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</si>
  <si>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</si>
  <si>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</si>
  <si>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</si>
  <si>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</si>
  <si>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</si>
  <si>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</si>
  <si>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</si>
  <si>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</si>
  <si>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</si>
  <si>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</si>
  <si>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</si>
  <si>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</si>
  <si>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</si>
  <si>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</si>
  <si>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</si>
  <si>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</si>
  <si>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</si>
  <si>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</si>
  <si>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</si>
  <si>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</si>
  <si>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</si>
  <si>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</si>
  <si>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</si>
  <si>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</si>
  <si>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</si>
  <si>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</si>
  <si>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</si>
  <si>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</si>
  <si>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</si>
  <si>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</si>
  <si>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</si>
  <si>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</si>
  <si>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</si>
  <si>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</si>
  <si>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</si>
  <si>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</si>
  <si>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</si>
  <si>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</si>
  <si>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</si>
  <si>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</si>
  <si>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</si>
  <si>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</si>
  <si>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</si>
  <si>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</si>
  <si>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</si>
  <si>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</si>
  <si>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</si>
  <si>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</si>
  <si>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</si>
  <si>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</si>
  <si>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</si>
  <si>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</si>
  <si>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</si>
  <si>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</si>
  <si>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</si>
  <si>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</si>
  <si>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</si>
  <si>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</si>
  <si>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</si>
  <si>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</si>
  <si>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</si>
  <si>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</si>
  <si>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</si>
  <si>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</si>
  <si>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</si>
  <si>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</si>
  <si>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</si>
  <si>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</si>
  <si>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</si>
  <si>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</si>
  <si>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</si>
  <si>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</si>
  <si>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</si>
  <si>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</si>
  <si>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</si>
  <si>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</si>
  <si>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</si>
  <si>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</si>
  <si>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</si>
  <si>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</si>
  <si>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</si>
  <si>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</si>
  <si>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</si>
  <si>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</si>
  <si>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</si>
  <si>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</si>
  <si>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</si>
  <si>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</si>
  <si>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</si>
  <si>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</si>
  <si>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</si>
  <si>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</si>
  <si>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</si>
  <si>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</si>
  <si>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</si>
  <si>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</si>
  <si>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</si>
  <si>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</si>
  <si>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</si>
  <si>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</si>
  <si>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</si>
  <si>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</si>
  <si>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</si>
  <si>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</si>
  <si>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</si>
  <si>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</si>
  <si>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</si>
  <si>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</si>
  <si>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</si>
  <si>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</si>
  <si>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</si>
  <si>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</si>
  <si>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</si>
  <si>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</si>
  <si>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</si>
  <si>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</si>
  <si>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</si>
  <si>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</si>
  <si>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</si>
  <si>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</si>
  <si>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</si>
  <si>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</si>
  <si>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</si>
  <si>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</si>
  <si>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</si>
  <si>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</si>
  <si>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</si>
  <si>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</si>
  <si>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</si>
  <si>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</si>
  <si>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</si>
  <si>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</si>
  <si>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</si>
  <si>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</si>
  <si>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</si>
  <si>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</si>
  <si>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</si>
  <si>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</si>
  <si>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</si>
  <si>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</si>
  <si>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</si>
  <si>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</si>
  <si>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</si>
  <si>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</si>
  <si>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</si>
  <si>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</si>
  <si>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</si>
  <si>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</si>
  <si>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</si>
  <si>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</si>
  <si>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</si>
  <si>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</si>
  <si>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</si>
  <si>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</si>
  <si>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</si>
  <si>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</si>
  <si>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</si>
  <si>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</si>
  <si>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</si>
  <si>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</si>
  <si>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</si>
  <si>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</si>
  <si>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</si>
  <si>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</si>
  <si>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</si>
  <si>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</si>
  <si>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</si>
  <si>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</si>
  <si>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</si>
  <si>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</si>
  <si>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</si>
  <si>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</si>
  <si>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</si>
  <si>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</si>
  <si>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</si>
  <si>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</si>
  <si>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</si>
  <si>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</si>
  <si>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</si>
  <si>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</si>
  <si>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</si>
  <si>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</si>
  <si>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</si>
  <si>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</si>
  <si>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</si>
  <si>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</si>
  <si>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</si>
  <si>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</si>
  <si>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</si>
  <si>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</si>
  <si>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</si>
  <si>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</si>
  <si>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</si>
  <si>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</si>
  <si>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</si>
  <si>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</si>
  <si>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</si>
  <si>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</si>
  <si>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</si>
  <si>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</si>
  <si>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</si>
  <si>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</si>
  <si>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</si>
  <si>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</si>
  <si>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</si>
  <si>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</si>
  <si>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</si>
  <si>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</si>
  <si>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</si>
  <si>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</si>
  <si>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</si>
  <si>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</si>
  <si>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</si>
  <si>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</si>
  <si>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</si>
  <si>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</si>
  <si>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</si>
  <si>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</si>
  <si>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</si>
  <si>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</si>
  <si>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</si>
  <si>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</si>
  <si>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</si>
  <si>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</si>
  <si>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</si>
  <si>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</si>
  <si>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</si>
  <si>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</si>
  <si>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</si>
  <si>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</si>
  <si>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</si>
  <si>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</si>
  <si>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</si>
  <si>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</si>
  <si>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</si>
  <si>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</si>
  <si>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</si>
  <si>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</si>
  <si>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</si>
  <si>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</si>
  <si>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</si>
  <si>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</si>
  <si>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</si>
  <si>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</si>
  <si>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</si>
  <si>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</si>
  <si>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</si>
  <si>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</si>
  <si>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</si>
  <si>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</si>
  <si>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</si>
  <si>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</si>
  <si>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</si>
  <si>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</si>
  <si>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</si>
  <si>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</si>
  <si>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</si>
  <si>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</si>
  <si>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</si>
  <si>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</si>
  <si>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</si>
  <si>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</si>
  <si>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</si>
  <si>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</si>
  <si>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</si>
  <si>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</si>
  <si>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</si>
  <si>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</si>
  <si>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</si>
  <si>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</si>
  <si>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</si>
  <si>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</si>
  <si>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</si>
  <si>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</si>
  <si>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</si>
  <si>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</si>
  <si>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</si>
  <si>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</si>
  <si>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</si>
  <si>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</si>
  <si>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</si>
  <si>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</si>
  <si>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</si>
  <si>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</si>
  <si>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</si>
  <si>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</si>
  <si>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</si>
  <si>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</si>
  <si>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</si>
  <si>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</si>
  <si>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</si>
  <si>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</si>
  <si>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</si>
  <si>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</si>
  <si>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</si>
  <si>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</si>
  <si>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</si>
  <si>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</si>
  <si>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</si>
  <si>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</si>
  <si>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</si>
  <si>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</si>
  <si>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</si>
  <si>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</si>
  <si>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</si>
  <si>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</si>
  <si>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</si>
  <si>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</si>
  <si>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</si>
  <si>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</si>
  <si>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</si>
  <si>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</si>
  <si>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</si>
  <si>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</si>
  <si>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</si>
  <si>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</si>
  <si>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</si>
  <si>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</si>
  <si>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</si>
  <si>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</si>
  <si>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</si>
  <si>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</si>
  <si>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</si>
  <si>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</si>
  <si>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</si>
  <si>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</si>
  <si>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</si>
  <si>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</si>
  <si>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</si>
  <si>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</si>
  <si>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</si>
  <si>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</si>
  <si>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</si>
  <si>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</si>
  <si>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</si>
  <si>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</si>
  <si>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</si>
  <si>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</si>
  <si>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</si>
  <si>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</si>
  <si>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</si>
  <si>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</si>
  <si>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</si>
  <si>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</si>
  <si>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</si>
  <si>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</si>
  <si>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</si>
  <si>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</si>
  <si>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</si>
  <si>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</si>
  <si>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</si>
  <si>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</si>
  <si>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</si>
  <si>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</si>
  <si>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</si>
  <si>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</si>
  <si>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</si>
  <si>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</si>
  <si>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</si>
  <si>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</si>
  <si>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</si>
  <si>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</si>
  <si>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</si>
  <si>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</si>
  <si>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</si>
  <si>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</si>
  <si>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</si>
  <si>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</si>
  <si>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</si>
  <si>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</si>
  <si>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</si>
  <si>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</si>
  <si>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</si>
  <si>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</si>
  <si>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</si>
  <si>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</si>
  <si>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</si>
  <si>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</si>
  <si>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</si>
  <si>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</si>
  <si>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</si>
  <si>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</si>
  <si>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</si>
  <si>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</si>
  <si>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</si>
  <si>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</si>
  <si>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</si>
  <si>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</si>
  <si>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</si>
  <si>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</si>
  <si>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</si>
  <si>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</si>
  <si>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</si>
  <si>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</si>
  <si>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</si>
  <si>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</si>
  <si>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</si>
  <si>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</si>
  <si>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</si>
  <si>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</si>
  <si>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</si>
  <si>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</si>
  <si>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</si>
  <si>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</si>
  <si>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</si>
  <si>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</si>
  <si>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</si>
  <si>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</si>
  <si>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</si>
  <si>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</si>
  <si>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</si>
  <si>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</si>
  <si>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</si>
  <si>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</si>
  <si>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</si>
  <si>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</si>
  <si>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</si>
  <si>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</si>
  <si>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</si>
  <si>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</si>
  <si>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</si>
  <si>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</si>
  <si>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</si>
  <si>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</si>
  <si>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</si>
  <si>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</si>
  <si>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</si>
  <si>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</si>
  <si>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</si>
  <si>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</si>
  <si>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</si>
  <si>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</si>
  <si>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</si>
  <si>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</si>
  <si>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</si>
  <si>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</si>
  <si>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</si>
  <si>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</si>
  <si>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</si>
  <si>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</si>
  <si>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</si>
  <si>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</si>
  <si>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</si>
  <si>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</si>
  <si>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</si>
  <si>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</si>
  <si>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</si>
  <si>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</si>
  <si>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</si>
  <si>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</si>
  <si>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</si>
  <si>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</si>
  <si>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</si>
  <si>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</si>
  <si>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</si>
  <si>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</si>
  <si>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</si>
  <si>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</si>
  <si>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</si>
  <si>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</si>
  <si>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</si>
  <si>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</si>
  <si>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</si>
  <si>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</si>
  <si>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</si>
  <si>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</si>
  <si>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</si>
  <si>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</si>
  <si>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</si>
  <si>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</si>
  <si>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</si>
  <si>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</si>
  <si>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</si>
  <si>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</si>
  <si>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</si>
  <si>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</si>
  <si>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</si>
  <si>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</si>
  <si>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</si>
  <si>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</si>
  <si>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</si>
  <si>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</si>
  <si>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</si>
  <si>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</si>
  <si>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</si>
  <si>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</si>
  <si>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</si>
  <si>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</si>
  <si>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</si>
  <si>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</si>
  <si>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</si>
  <si>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</si>
  <si>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</si>
  <si>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</si>
  <si>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</si>
  <si>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</si>
  <si>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</si>
  <si>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</si>
  <si>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</si>
  <si>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</si>
  <si>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</si>
  <si>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</si>
  <si>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</si>
  <si>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</si>
  <si>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</si>
  <si>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</si>
  <si>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</si>
  <si>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</si>
  <si>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</si>
  <si>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</si>
  <si>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</si>
  <si>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</si>
  <si>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</si>
  <si>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</si>
  <si>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</si>
  <si>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</si>
  <si>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</si>
  <si>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</si>
  <si>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</si>
  <si>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</si>
  <si>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</si>
  <si>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</si>
  <si>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</si>
  <si>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</si>
  <si>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</si>
  <si>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</si>
  <si>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</si>
  <si>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</si>
  <si>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</si>
  <si>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</si>
  <si>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</si>
  <si>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</si>
  <si>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</si>
  <si>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</si>
  <si>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</si>
  <si>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</si>
  <si>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</si>
  <si>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</si>
  <si>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</si>
  <si>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</si>
  <si>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</si>
  <si>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</si>
  <si>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</si>
  <si>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</si>
  <si>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</si>
  <si>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</si>
  <si>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</si>
  <si>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</si>
  <si>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</si>
  <si>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</si>
  <si>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</si>
  <si>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</si>
  <si>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</si>
  <si>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</si>
  <si>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</si>
  <si>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</si>
  <si>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</si>
  <si>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</si>
  <si>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</si>
  <si>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</si>
  <si>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</si>
  <si>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</si>
  <si>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</si>
  <si>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</si>
  <si>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</si>
  <si>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</si>
  <si>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</si>
  <si>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</si>
  <si>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</si>
  <si>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</si>
  <si>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</si>
  <si>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</si>
  <si>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</si>
  <si>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</si>
  <si>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</si>
  <si>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</si>
  <si>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</si>
  <si>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</si>
  <si>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</si>
  <si>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</si>
  <si>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</si>
  <si>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</si>
  <si>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</si>
  <si>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</si>
  <si>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</si>
  <si>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</si>
  <si>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</si>
  <si>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</si>
  <si>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</si>
  <si>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</si>
  <si>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</si>
  <si>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</si>
  <si>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</si>
  <si>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</si>
  <si>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</si>
  <si>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</si>
  <si>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</si>
  <si>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</si>
  <si>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</si>
  <si>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</si>
  <si>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</si>
  <si>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</si>
  <si>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</si>
  <si>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</si>
  <si>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</si>
  <si>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</si>
  <si>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</si>
  <si>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</si>
  <si>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</si>
  <si>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</si>
  <si>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</si>
  <si>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</si>
  <si>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</si>
  <si>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</si>
  <si>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</si>
  <si>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</si>
  <si>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</si>
  <si>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</si>
  <si>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</si>
  <si>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</si>
  <si>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</si>
  <si>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</si>
  <si>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</si>
  <si>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</si>
  <si>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</si>
  <si>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</si>
  <si>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</si>
  <si>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</si>
  <si>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</si>
  <si>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</si>
  <si>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</si>
  <si>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</si>
  <si>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</si>
  <si>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</si>
  <si>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</si>
  <si>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</si>
  <si>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</si>
  <si>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</si>
  <si>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</si>
  <si>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</si>
  <si>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</si>
  <si>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</si>
  <si>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</si>
  <si>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</si>
  <si>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</si>
  <si>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</si>
  <si>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</si>
  <si>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</si>
  <si>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</si>
  <si>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</si>
  <si>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</si>
  <si>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</si>
  <si>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</si>
  <si>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</si>
  <si>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</si>
  <si>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</si>
  <si>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</si>
  <si>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</si>
  <si>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</si>
  <si>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</si>
  <si>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</si>
  <si>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</si>
  <si>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</si>
  <si>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</si>
  <si>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</si>
  <si>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</si>
  <si>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</si>
  <si>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</si>
  <si>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</si>
  <si>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</si>
  <si>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</si>
  <si>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</si>
  <si>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</si>
  <si>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</si>
  <si>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</si>
  <si>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</si>
  <si>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</si>
  <si>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</si>
  <si>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</si>
  <si>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</si>
  <si>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</si>
  <si>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</si>
  <si>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</si>
  <si>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</si>
  <si>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</si>
  <si>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</si>
  <si>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</si>
  <si>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</si>
  <si>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</si>
  <si>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</si>
  <si>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</si>
  <si>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</si>
  <si>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</si>
  <si>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</si>
  <si>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</si>
  <si>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</si>
  <si>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</si>
  <si>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</si>
  <si>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</si>
  <si>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</si>
  <si>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</si>
  <si>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</si>
  <si>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</si>
  <si>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</si>
  <si>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</si>
  <si>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</si>
  <si>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</si>
  <si>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</si>
  <si>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</si>
  <si>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</si>
  <si>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</si>
  <si>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</si>
  <si>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</si>
  <si>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</si>
  <si>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</si>
  <si>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</si>
  <si>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</si>
  <si>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</si>
  <si>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</si>
  <si>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</si>
  <si>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</si>
  <si>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</si>
  <si>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</si>
  <si>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</si>
  <si>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</si>
  <si>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</si>
  <si>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</si>
  <si>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</si>
  <si>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</si>
  <si>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</si>
  <si>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</si>
  <si>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</si>
  <si>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</si>
  <si>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</si>
  <si>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</si>
  <si>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</si>
  <si>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</si>
  <si>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</si>
  <si>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</si>
  <si>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</si>
  <si>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</si>
  <si>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</si>
  <si>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</si>
  <si>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</si>
  <si>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</si>
  <si>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</si>
  <si>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</si>
  <si>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</si>
  <si>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</si>
  <si>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</si>
  <si>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</si>
  <si>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</si>
  <si>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</si>
  <si>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</si>
  <si>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</si>
  <si>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</si>
  <si>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</si>
  <si>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</si>
  <si>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</si>
  <si>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</si>
  <si>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</si>
  <si>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</si>
  <si>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</si>
  <si>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</si>
  <si>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</si>
  <si>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</si>
  <si>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</si>
  <si>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</si>
  <si>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</si>
  <si>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</si>
  <si>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</si>
  <si>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</si>
  <si>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</si>
  <si>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</si>
  <si>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</si>
  <si>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</si>
  <si>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</si>
  <si>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</si>
  <si>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</si>
  <si>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</si>
  <si>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</si>
  <si>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</si>
  <si>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</si>
  <si>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</si>
  <si>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</si>
  <si>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</si>
  <si>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</si>
  <si>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</si>
  <si>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</si>
  <si>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</si>
  <si>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</si>
  <si>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</si>
  <si>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</si>
  <si>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</si>
  <si>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</si>
  <si>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</si>
  <si>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</si>
  <si>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</si>
  <si>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</si>
  <si>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</si>
  <si>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</si>
  <si>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</si>
  <si>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</si>
  <si>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</si>
  <si>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</si>
  <si>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</si>
  <si>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</si>
  <si>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</si>
  <si>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</si>
  <si>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</si>
  <si>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</si>
  <si>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</si>
  <si>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</si>
  <si>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</si>
  <si>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</si>
  <si>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</si>
  <si>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</si>
  <si>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</si>
  <si>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</si>
  <si>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</si>
  <si>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</si>
  <si>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</si>
  <si>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</si>
  <si>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</si>
  <si>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</si>
  <si>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</si>
  <si>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</si>
  <si>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</si>
  <si>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</si>
  <si>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</si>
  <si>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</si>
  <si>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</si>
  <si>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</si>
  <si>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</si>
  <si>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</si>
  <si>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</si>
  <si>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</si>
  <si>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</si>
  <si>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</si>
  <si>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</si>
  <si>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</si>
  <si>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</si>
  <si>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</si>
  <si>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</si>
  <si>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</si>
  <si>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</si>
  <si>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</si>
  <si>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</si>
  <si>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</si>
  <si>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</si>
  <si>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</si>
  <si>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</si>
  <si>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</si>
  <si>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</si>
  <si>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</si>
  <si>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</si>
  <si>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</si>
  <si>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</si>
  <si>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</si>
  <si>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</si>
  <si>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</si>
  <si>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</si>
  <si>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</si>
  <si>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</si>
  <si>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</si>
  <si>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</si>
  <si>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</si>
  <si>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</si>
  <si>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</si>
  <si>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</si>
  <si>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</si>
  <si>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</si>
  <si>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</si>
  <si>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</si>
  <si>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</si>
  <si>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</si>
  <si>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</si>
  <si>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</si>
  <si>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</si>
  <si>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</si>
  <si>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</si>
  <si>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</si>
  <si>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</si>
  <si>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</si>
  <si>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</si>
  <si>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</si>
  <si>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</si>
  <si>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</si>
  <si>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</si>
  <si>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</si>
  <si>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</si>
  <si>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</si>
  <si>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</si>
  <si>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</si>
  <si>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</si>
  <si>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</si>
  <si>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</si>
  <si>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</si>
  <si>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</si>
  <si>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</si>
  <si>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</si>
  <si>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</si>
  <si>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</si>
  <si>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</si>
  <si>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</si>
  <si>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</si>
  <si>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</si>
  <si>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</si>
  <si>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</si>
  <si>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</si>
  <si>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</si>
  <si>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</si>
  <si>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</si>
  <si>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</si>
  <si>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</si>
  <si>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</si>
  <si>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</si>
  <si>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</si>
  <si>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</si>
  <si>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</si>
  <si>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</si>
  <si>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</si>
  <si>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</si>
  <si>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</si>
  <si>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</si>
  <si>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</si>
  <si>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</si>
  <si>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</si>
  <si>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</si>
  <si>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</si>
  <si>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</si>
  <si>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</si>
  <si>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</si>
  <si>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</si>
  <si>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</si>
  <si>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</si>
  <si>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</si>
  <si>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</si>
  <si>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</si>
  <si>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</si>
  <si>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</si>
  <si>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</si>
  <si>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</si>
  <si>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</si>
  <si>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</si>
  <si>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</si>
  <si>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</si>
  <si>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</si>
  <si>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</si>
  <si>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</si>
  <si>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</si>
  <si>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</si>
  <si>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</si>
  <si>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</si>
  <si>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</si>
  <si>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</si>
  <si>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</si>
  <si>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</si>
  <si>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</si>
  <si>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</si>
  <si>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</si>
  <si>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</si>
  <si>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</si>
  <si>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</si>
  <si>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</si>
  <si>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</si>
  <si>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</si>
  <si>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</si>
  <si>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</si>
  <si>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</si>
  <si>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</si>
  <si>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</si>
  <si>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</si>
  <si>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</si>
  <si>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</si>
  <si>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</si>
  <si>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</si>
  <si>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</si>
  <si>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</si>
  <si>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</si>
  <si>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</si>
  <si>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</si>
  <si>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</si>
  <si>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</si>
  <si>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</si>
  <si>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</si>
  <si>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</si>
  <si>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</si>
  <si>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</si>
  <si>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</si>
  <si>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</si>
  <si>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</si>
  <si>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</si>
  <si>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</si>
  <si>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</si>
  <si>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</si>
  <si>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</si>
  <si>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</si>
  <si>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</si>
  <si>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</si>
  <si>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</si>
  <si>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</si>
  <si>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</si>
  <si>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</si>
  <si>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</si>
  <si>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</si>
  <si>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</si>
  <si>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</si>
  <si>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</si>
  <si>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</si>
  <si>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</si>
  <si>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</si>
  <si>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</si>
  <si>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</si>
  <si>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</si>
  <si>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</si>
  <si>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</si>
  <si>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</si>
  <si>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</si>
  <si>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</si>
  <si>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</si>
  <si>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</si>
  <si>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</si>
  <si>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</si>
  <si>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</si>
  <si>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</si>
  <si>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</si>
  <si>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</si>
  <si>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</si>
  <si>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</si>
  <si>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</si>
  <si>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</si>
  <si>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</si>
  <si>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</si>
  <si>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</si>
  <si>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</si>
  <si>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</si>
  <si>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</si>
  <si>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</si>
  <si>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</si>
  <si>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</si>
  <si>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</si>
  <si>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</si>
  <si>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</si>
  <si>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</si>
  <si>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</si>
  <si>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</si>
  <si>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</si>
  <si>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</si>
  <si>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</si>
  <si>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</si>
  <si>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</si>
  <si>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</si>
  <si>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</si>
  <si>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</si>
  <si>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</si>
  <si>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</si>
  <si>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</si>
  <si>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</si>
  <si>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</si>
  <si>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</si>
  <si>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</si>
  <si>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</si>
  <si>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</si>
  <si>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</si>
  <si>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</si>
  <si>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</si>
  <si>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</si>
  <si>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</si>
  <si>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</si>
  <si>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</si>
  <si>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</si>
  <si>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</si>
  <si>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</si>
  <si>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</si>
  <si>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</si>
  <si>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</si>
  <si>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</si>
  <si>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</si>
  <si>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</si>
  <si>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</si>
  <si>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</si>
  <si>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</si>
  <si>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</si>
  <si>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</si>
  <si>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</si>
  <si>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</si>
  <si>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</si>
  <si>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</si>
  <si>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</si>
  <si>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</si>
  <si>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</si>
  <si>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</si>
  <si>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</si>
  <si>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</si>
  <si>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</si>
  <si>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</si>
  <si>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</si>
  <si>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</si>
  <si>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</si>
  <si>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</si>
  <si>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</si>
  <si>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</si>
  <si>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</si>
  <si>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</si>
  <si>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</si>
  <si>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</si>
  <si>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</si>
  <si>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</si>
  <si>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</si>
  <si>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</si>
  <si>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</si>
  <si>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</si>
  <si>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</si>
  <si>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</si>
  <si>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</si>
  <si>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</si>
  <si>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</si>
  <si>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</si>
  <si>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</si>
  <si>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</si>
  <si>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</si>
  <si>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</si>
  <si>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</si>
  <si>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</si>
  <si>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</si>
  <si>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</si>
  <si>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</si>
  <si>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</si>
  <si>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</si>
  <si>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</si>
  <si>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</si>
  <si>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</si>
  <si>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</si>
  <si>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</si>
  <si>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</si>
  <si>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</si>
  <si>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</si>
  <si>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</si>
  <si>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</si>
  <si>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</si>
  <si>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</si>
  <si>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</si>
  <si>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</si>
  <si>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</si>
  <si>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</si>
  <si>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</si>
  <si>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</si>
  <si>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</si>
  <si>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</si>
  <si>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</si>
  <si>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</si>
  <si>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</si>
  <si>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</si>
  <si>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</si>
  <si>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</si>
  <si>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</si>
  <si>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</si>
  <si>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</si>
  <si>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</si>
  <si>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</si>
  <si>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</si>
  <si>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</si>
  <si>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</si>
  <si>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</si>
  <si>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</si>
  <si>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</si>
  <si>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</si>
  <si>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</si>
  <si>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</si>
  <si>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</si>
  <si>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</si>
  <si>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</si>
  <si>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</si>
  <si>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</si>
  <si>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</si>
  <si>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</si>
  <si>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</si>
  <si>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</si>
  <si>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</si>
  <si>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</si>
  <si>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</si>
  <si>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</si>
  <si>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</si>
  <si>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</si>
  <si>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</si>
  <si>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</si>
  <si>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</si>
  <si>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</si>
  <si>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</si>
  <si>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</si>
  <si>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</si>
  <si>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</si>
  <si>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</si>
  <si>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</si>
  <si>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</si>
  <si>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</si>
  <si>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</si>
  <si>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</si>
  <si>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</si>
  <si>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</si>
  <si>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</si>
  <si>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</si>
  <si>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</si>
  <si>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</si>
  <si>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</si>
  <si>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</si>
  <si>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</si>
  <si>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</si>
  <si>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</si>
  <si>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</si>
  <si>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</si>
  <si>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</si>
  <si>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</si>
  <si>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</si>
  <si>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</si>
  <si>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</si>
  <si>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</si>
  <si>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</si>
  <si>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</si>
  <si>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</si>
  <si>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</si>
  <si>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</si>
  <si>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</si>
  <si>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</si>
  <si>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</si>
  <si>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</si>
  <si>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</si>
  <si>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</si>
  <si>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</si>
  <si>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</si>
  <si>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</si>
  <si>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</si>
  <si>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</si>
  <si>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</si>
  <si>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</si>
  <si>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</si>
  <si>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</si>
  <si>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</si>
  <si>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</si>
  <si>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</si>
  <si>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</si>
  <si>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</si>
  <si>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</si>
  <si>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</si>
  <si>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</si>
  <si>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</si>
  <si>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</si>
  <si>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</si>
  <si>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</si>
  <si>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</si>
  <si>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</si>
  <si>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</si>
  <si>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</si>
  <si>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</si>
  <si>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</si>
  <si>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</si>
  <si>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</si>
  <si>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</si>
  <si>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</si>
  <si>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</si>
  <si>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</si>
  <si>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</si>
  <si>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</si>
  <si>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</si>
  <si>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</si>
  <si>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</si>
  <si>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</si>
  <si>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</si>
  <si>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</si>
  <si>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</si>
  <si>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</si>
  <si>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</si>
  <si>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</si>
  <si>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</si>
  <si>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</si>
  <si>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</si>
  <si>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</si>
  <si>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</si>
  <si>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</si>
  <si>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</si>
  <si>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</si>
  <si>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</si>
  <si>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</si>
  <si>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</si>
  <si>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</si>
  <si>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</si>
  <si>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</si>
  <si>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</si>
  <si>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</si>
  <si>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</si>
  <si>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</si>
  <si>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</si>
  <si>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</si>
  <si>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</si>
  <si>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</si>
  <si>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</si>
  <si>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</si>
  <si>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</si>
  <si>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</si>
  <si>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</si>
  <si>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</si>
  <si>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</si>
  <si>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</si>
  <si>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</si>
  <si>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</si>
  <si>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</si>
  <si>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</si>
  <si>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</si>
  <si>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</si>
  <si>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</si>
  <si>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</si>
  <si>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</si>
  <si>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</si>
  <si>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</si>
  <si>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</si>
  <si>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</si>
  <si>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</si>
  <si>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</si>
  <si>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</si>
  <si>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</si>
  <si>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</si>
  <si>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</si>
  <si>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</si>
  <si>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</si>
  <si>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</si>
  <si>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</si>
  <si>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</si>
  <si>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</si>
  <si>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</si>
  <si>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</si>
  <si>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</si>
  <si>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</si>
  <si>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</si>
  <si>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</si>
  <si>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</si>
  <si>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</si>
  <si>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</si>
  <si>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</si>
  <si>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</si>
  <si>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</si>
  <si>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</si>
  <si>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</si>
  <si>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</si>
  <si>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</si>
  <si>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</si>
  <si>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</si>
  <si>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</si>
  <si>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</si>
  <si>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</si>
  <si>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</si>
  <si>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</si>
  <si>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</si>
  <si>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</si>
  <si>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</si>
  <si>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</si>
  <si>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</si>
  <si>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</si>
  <si>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</si>
  <si>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</si>
  <si>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</si>
  <si>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</si>
  <si>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</si>
  <si>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</si>
  <si>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</si>
  <si>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</si>
  <si>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</si>
  <si>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</si>
  <si>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</si>
  <si>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</si>
  <si>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</si>
  <si>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</si>
  <si>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</si>
  <si>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</si>
  <si>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</si>
  <si>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</si>
  <si>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</si>
  <si>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</si>
  <si>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</si>
  <si>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</si>
  <si>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</si>
  <si>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</si>
  <si>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</si>
  <si>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</si>
  <si>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</si>
  <si>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</si>
  <si>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</si>
  <si>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</si>
  <si>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</si>
  <si>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</si>
  <si>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</si>
  <si>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</si>
  <si>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</si>
  <si>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</si>
  <si>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</si>
  <si>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</si>
  <si>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</si>
  <si>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</si>
  <si>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</si>
  <si>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</si>
  <si>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</si>
  <si>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</si>
  <si>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</si>
  <si>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</si>
  <si>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</si>
  <si>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</si>
  <si>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</si>
  <si>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</si>
  <si>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</si>
  <si>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</si>
  <si>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</si>
  <si>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</si>
  <si>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</si>
  <si>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</si>
  <si>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</si>
  <si>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</si>
  <si>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</si>
  <si>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</si>
  <si>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</si>
  <si>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</si>
  <si>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</si>
  <si>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</si>
  <si>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</si>
  <si>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</si>
  <si>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</si>
  <si>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</si>
  <si>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</si>
  <si>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</si>
  <si>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</si>
  <si>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</si>
  <si>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</si>
  <si>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</si>
  <si>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</si>
  <si>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</si>
  <si>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</si>
  <si>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</si>
  <si>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</si>
  <si>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</si>
  <si>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</si>
  <si>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</si>
  <si>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</si>
  <si>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</si>
  <si>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</si>
  <si>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</si>
  <si>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</si>
  <si>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</si>
  <si>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</si>
  <si>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</si>
  <si>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</si>
  <si>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</si>
  <si>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</si>
  <si>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</si>
  <si>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</si>
  <si>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</si>
  <si>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</si>
  <si>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</si>
  <si>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</si>
  <si>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</si>
  <si>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</si>
  <si>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</si>
  <si>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</si>
  <si>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</si>
  <si>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</si>
  <si>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</si>
  <si>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</si>
  <si>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</si>
  <si>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</si>
  <si>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</si>
  <si>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</si>
  <si>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</si>
  <si>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</si>
  <si>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</si>
  <si>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</si>
  <si>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</si>
  <si>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</si>
  <si>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</si>
  <si>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</si>
  <si>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</si>
  <si>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</si>
  <si>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</si>
  <si>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</si>
  <si>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</si>
  <si>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</si>
  <si>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</si>
  <si>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</si>
  <si>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</si>
  <si>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</si>
  <si>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</si>
  <si>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</si>
  <si>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</si>
  <si>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</si>
  <si>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</si>
  <si>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</si>
  <si>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</si>
  <si>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</si>
  <si>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</si>
  <si>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</si>
  <si>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</si>
  <si>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</si>
  <si>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</si>
  <si>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</si>
  <si>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</si>
  <si>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</si>
  <si>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</si>
  <si>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</si>
  <si>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</si>
  <si>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</si>
  <si>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</si>
  <si>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</si>
  <si>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</si>
  <si>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</si>
  <si>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</si>
  <si>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</si>
  <si>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</si>
  <si>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</si>
  <si>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</si>
  <si>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</si>
  <si>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</si>
  <si>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</si>
  <si>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</si>
  <si>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</si>
  <si>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</si>
  <si>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</si>
  <si>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</si>
  <si>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</si>
  <si>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</si>
  <si>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</si>
  <si>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</si>
  <si>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</si>
  <si>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</si>
  <si>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</si>
  <si>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</si>
  <si>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</si>
  <si>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</si>
  <si>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</si>
  <si>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</si>
  <si>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</si>
  <si>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</si>
  <si>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</si>
  <si>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</si>
  <si>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</si>
  <si>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</si>
  <si>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</si>
  <si>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</si>
  <si>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</si>
  <si>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</si>
  <si>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</si>
  <si>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</si>
  <si>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</si>
  <si>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</si>
  <si>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</si>
  <si>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</si>
  <si>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</si>
  <si>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</si>
  <si>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</si>
  <si>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</si>
  <si>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</si>
  <si>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</si>
  <si>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</si>
  <si>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</si>
  <si>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</si>
  <si>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</si>
  <si>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</si>
  <si>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</si>
  <si>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</si>
  <si>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</si>
  <si>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</si>
  <si>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</si>
  <si>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</si>
  <si>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</si>
  <si>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</si>
  <si>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</si>
  <si>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</si>
  <si>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</si>
  <si>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</si>
  <si>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</si>
  <si>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</si>
  <si>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</si>
  <si>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</si>
  <si>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</si>
  <si>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</si>
  <si>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</si>
  <si>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</si>
  <si>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</si>
  <si>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</si>
  <si>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</si>
  <si>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</si>
  <si>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</si>
  <si>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</si>
  <si>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</si>
  <si>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</si>
  <si>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</si>
  <si>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</si>
  <si>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</si>
  <si>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</si>
  <si>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</si>
  <si>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</si>
  <si>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</si>
  <si>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</si>
  <si>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</si>
  <si>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</si>
  <si>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</si>
  <si>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</si>
  <si>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</si>
  <si>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</si>
  <si>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</si>
  <si>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</si>
  <si>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</si>
  <si>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</si>
  <si>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</si>
  <si>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</si>
  <si>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</si>
  <si>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</si>
  <si>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</si>
  <si>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</si>
  <si>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</si>
  <si>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</si>
  <si>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</si>
  <si>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</si>
  <si>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</si>
  <si>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</si>
  <si>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</si>
  <si>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</si>
  <si>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</si>
  <si>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</si>
  <si>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</si>
  <si>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</si>
  <si>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</si>
  <si>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</si>
  <si>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</si>
  <si>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</si>
  <si>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</si>
  <si>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</si>
  <si>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</si>
  <si>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</si>
  <si>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</si>
  <si>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</si>
  <si>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</si>
  <si>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</si>
  <si>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</si>
  <si>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</si>
  <si>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</si>
  <si>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</si>
  <si>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</si>
  <si>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</si>
  <si>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</si>
  <si>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</si>
  <si>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</si>
  <si>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</si>
  <si>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</si>
  <si>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</si>
  <si>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</si>
  <si>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</si>
  <si>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</si>
  <si>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</si>
  <si>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</si>
  <si>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</si>
  <si>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</si>
  <si>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</si>
  <si>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</si>
  <si>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</si>
  <si>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</si>
  <si>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</si>
  <si>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</si>
  <si>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</si>
  <si>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</si>
  <si>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</si>
  <si>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</si>
  <si>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</si>
  <si>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</si>
  <si>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</si>
  <si>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</si>
  <si>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</si>
  <si>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</si>
  <si>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</si>
  <si>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</si>
  <si>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</si>
  <si>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</si>
  <si>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</si>
  <si>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</si>
  <si>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</si>
  <si>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</si>
  <si>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</si>
  <si>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</si>
  <si>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</si>
  <si>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</si>
  <si>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</si>
  <si>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</si>
  <si>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</si>
  <si>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</si>
  <si>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</si>
  <si>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</si>
  <si>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</si>
  <si>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</si>
  <si>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</si>
  <si>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</si>
  <si>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</si>
  <si>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</si>
  <si>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</si>
  <si>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</si>
  <si>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</si>
  <si>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</si>
  <si>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</si>
  <si>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</si>
  <si>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</si>
  <si>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</si>
  <si>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</si>
  <si>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</si>
  <si>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</si>
  <si>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</si>
  <si>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</si>
  <si>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</si>
  <si>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</si>
  <si>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</si>
  <si>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</si>
  <si>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</si>
  <si>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</si>
  <si>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</si>
  <si>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</si>
  <si>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</si>
  <si>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</si>
  <si>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</si>
  <si>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</si>
  <si>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</si>
  <si>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</si>
  <si>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</si>
  <si>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</si>
  <si>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</si>
  <si>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</si>
  <si>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</si>
  <si>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</si>
  <si>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</si>
  <si>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</si>
  <si>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</si>
  <si>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</si>
  <si>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</si>
  <si>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</si>
  <si>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</si>
  <si>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</si>
  <si>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</si>
  <si>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</si>
  <si>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</si>
  <si>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</si>
  <si>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</si>
  <si>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</si>
  <si>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</si>
  <si>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</si>
  <si>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</si>
  <si>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</si>
  <si>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</si>
  <si>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</si>
  <si>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</si>
  <si>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</si>
  <si>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</si>
  <si>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</si>
  <si>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</si>
  <si>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</si>
  <si>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</si>
  <si>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</si>
  <si>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</si>
  <si>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</si>
  <si>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</si>
  <si>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</si>
  <si>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</si>
  <si>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</si>
  <si>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</si>
  <si>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</si>
  <si>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</si>
  <si>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</si>
  <si>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</si>
  <si>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</si>
  <si>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</si>
  <si>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</si>
  <si>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</si>
  <si>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</si>
  <si>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</si>
  <si>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</si>
  <si>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</si>
  <si>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</si>
  <si>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</si>
  <si>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</si>
  <si>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</si>
  <si>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</si>
  <si>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</si>
  <si>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</si>
  <si>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</si>
  <si>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</si>
  <si>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</si>
  <si>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</si>
  <si>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</si>
  <si>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</si>
  <si>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</si>
  <si>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</si>
  <si>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</si>
  <si>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</si>
  <si>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</si>
  <si>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</si>
  <si>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</si>
  <si>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</si>
  <si>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</si>
  <si>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</si>
  <si>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</si>
  <si>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</si>
  <si>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</si>
  <si>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</si>
  <si>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</si>
  <si>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</si>
  <si>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</si>
  <si>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</si>
  <si>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</si>
  <si>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</si>
  <si>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</si>
  <si>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</si>
  <si>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</si>
  <si>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</si>
  <si>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</si>
  <si>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</si>
  <si>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</si>
  <si>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</si>
  <si>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</si>
  <si>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</si>
  <si>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</si>
  <si>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</si>
  <si>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</si>
  <si>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</si>
  <si>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</si>
  <si>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</si>
  <si>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</si>
  <si>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</si>
  <si>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</si>
  <si>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</si>
  <si>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</si>
  <si>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</si>
  <si>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</si>
  <si>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</si>
  <si>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</si>
  <si>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</si>
  <si>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</si>
  <si>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</si>
  <si>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</si>
  <si>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</si>
  <si>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</si>
  <si>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</si>
  <si>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</si>
  <si>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</si>
  <si>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</si>
  <si>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</si>
  <si>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</si>
  <si>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</si>
  <si>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</si>
  <si>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</si>
  <si>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</si>
  <si>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</si>
  <si>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</si>
  <si>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</si>
  <si>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</si>
  <si>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</si>
  <si>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</si>
  <si>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</si>
  <si>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</si>
  <si>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</si>
  <si>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</si>
  <si>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</si>
  <si>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</si>
  <si>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</si>
  <si>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</si>
  <si>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</si>
  <si>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</si>
  <si>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</si>
  <si>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</si>
  <si>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</si>
  <si>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</si>
  <si>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</si>
  <si>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</si>
  <si>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</si>
  <si>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</si>
  <si>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</si>
  <si>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</si>
  <si>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</si>
  <si>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</si>
  <si>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</si>
  <si>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</si>
  <si>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</si>
  <si>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</si>
  <si>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</si>
  <si>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</si>
  <si>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</si>
  <si>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</si>
  <si>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</si>
  <si>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</si>
  <si>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</si>
  <si>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</si>
  <si>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</si>
  <si>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</si>
  <si>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</si>
  <si>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</si>
  <si>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</si>
  <si>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</si>
  <si>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</si>
  <si>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</si>
  <si>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</si>
  <si>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</si>
  <si>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</si>
  <si>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</si>
  <si>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</si>
  <si>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</si>
  <si>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</si>
  <si>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</si>
  <si>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</si>
  <si>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</si>
  <si>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</si>
  <si>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</si>
  <si>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</si>
  <si>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</si>
  <si>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</si>
  <si>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</si>
  <si>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</si>
  <si>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</si>
  <si>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</si>
  <si>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</si>
  <si>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</si>
  <si>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</si>
  <si>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</si>
  <si>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</si>
  <si>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</si>
  <si>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</si>
  <si>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</si>
  <si>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</si>
  <si>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</si>
  <si>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</si>
  <si>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</si>
  <si>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</si>
  <si>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</si>
  <si>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</si>
  <si>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</si>
  <si>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</si>
  <si>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</si>
  <si>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</si>
  <si>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</si>
  <si>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</si>
  <si>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</si>
  <si>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</si>
  <si>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</si>
  <si>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</si>
  <si>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</si>
  <si>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</si>
  <si>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</si>
  <si>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</si>
  <si>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</si>
  <si>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</si>
  <si>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</si>
  <si>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</si>
  <si>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</si>
  <si>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</si>
  <si>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</si>
  <si>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</si>
  <si>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</si>
  <si>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</si>
  <si>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</si>
  <si>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</si>
  <si>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</si>
  <si>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</si>
  <si>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</si>
  <si>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</si>
  <si>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</si>
  <si>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</si>
  <si>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</si>
  <si>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</si>
  <si>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</si>
  <si>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</si>
  <si>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</si>
  <si>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</si>
  <si>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</si>
  <si>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</si>
  <si>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</si>
  <si>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</si>
  <si>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</si>
  <si>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</si>
  <si>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</si>
  <si>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</si>
  <si>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</si>
  <si>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</si>
  <si>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</si>
  <si>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</si>
  <si>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</si>
  <si>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</si>
  <si>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</si>
  <si>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</si>
  <si>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</si>
  <si>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</si>
  <si>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</si>
  <si>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</si>
  <si>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</si>
  <si>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</si>
  <si>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</si>
  <si>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</si>
  <si>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</si>
  <si>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</si>
  <si>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</si>
  <si>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</si>
  <si>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</si>
  <si>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</si>
  <si>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</si>
  <si>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</si>
  <si>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</si>
  <si>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</si>
  <si>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</si>
  <si>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</si>
  <si>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</si>
  <si>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</si>
  <si>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</si>
  <si>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</si>
  <si>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</si>
  <si>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</si>
  <si>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</si>
  <si>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</si>
  <si>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</si>
  <si>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</si>
  <si>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</si>
  <si>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</si>
  <si>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</si>
  <si>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</si>
  <si>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</si>
  <si>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</si>
  <si>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</si>
  <si>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</si>
  <si>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</si>
  <si>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</si>
  <si>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</si>
  <si>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</si>
  <si>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</si>
  <si>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</si>
  <si>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</si>
  <si>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</si>
  <si>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</si>
  <si>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</si>
  <si>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</si>
  <si>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</si>
  <si>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</si>
  <si>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</si>
  <si>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</si>
  <si>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</si>
  <si>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</si>
  <si>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</si>
  <si>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</si>
  <si>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</si>
  <si>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</si>
  <si>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</si>
  <si>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</si>
  <si>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</si>
  <si>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</si>
  <si>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</si>
  <si>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</si>
  <si>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</si>
  <si>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</si>
  <si>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</si>
  <si>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</si>
  <si>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</si>
  <si>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</si>
  <si>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</si>
  <si>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</si>
  <si>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</si>
  <si>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</si>
  <si>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</si>
  <si>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</si>
  <si>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</si>
  <si>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</si>
  <si>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</si>
  <si>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</si>
  <si>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</si>
  <si>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</si>
  <si>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</si>
  <si>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</si>
  <si>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</si>
  <si>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</si>
  <si>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</si>
  <si>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</si>
  <si>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</si>
  <si>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</si>
  <si>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</si>
  <si>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</si>
  <si>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</si>
  <si>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</si>
  <si>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</si>
  <si>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</si>
  <si>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</si>
  <si>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</si>
  <si>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</si>
  <si>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</si>
  <si>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</si>
  <si>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</si>
  <si>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</si>
  <si>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</si>
  <si>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</si>
  <si>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</si>
  <si>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</si>
  <si>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</si>
  <si>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</si>
  <si>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</si>
  <si>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</si>
  <si>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</si>
  <si>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</si>
  <si>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</si>
  <si>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</si>
  <si>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</si>
  <si>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</si>
  <si>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</si>
  <si>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</si>
  <si>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</si>
  <si>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</si>
  <si>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</si>
  <si>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</si>
  <si>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</si>
  <si>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</si>
  <si>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</si>
  <si>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</si>
  <si>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</si>
  <si>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</si>
  <si>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</si>
  <si>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</si>
  <si>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</si>
  <si>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</si>
  <si>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</si>
  <si>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</si>
  <si>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</si>
  <si>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</si>
  <si>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</si>
  <si>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</si>
  <si>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</si>
  <si>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</si>
  <si>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</si>
  <si>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</si>
  <si>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</si>
  <si>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</si>
  <si>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</si>
  <si>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</si>
  <si>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</si>
  <si>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</si>
  <si>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</si>
  <si>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</si>
  <si>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</si>
  <si>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</si>
  <si>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</si>
  <si>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</si>
  <si>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</si>
  <si>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</si>
  <si>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</si>
  <si>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</si>
  <si>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</si>
  <si>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</si>
  <si>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</si>
  <si>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</si>
  <si>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</si>
  <si>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</si>
  <si>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</si>
  <si>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</si>
  <si>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</si>
  <si>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</si>
  <si>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</si>
  <si>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</si>
  <si>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</si>
  <si>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</si>
  <si>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</si>
  <si>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</si>
  <si>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</si>
  <si>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</si>
  <si>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</si>
  <si>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</si>
  <si>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</si>
  <si>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</si>
  <si>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</si>
  <si>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</si>
  <si>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</si>
  <si>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</si>
  <si>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</si>
  <si>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</si>
  <si>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</si>
  <si>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</si>
  <si>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</si>
  <si>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</si>
  <si>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</si>
  <si>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</si>
  <si>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</si>
  <si>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</si>
  <si>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</si>
  <si>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</si>
  <si>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</si>
  <si>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</si>
  <si>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</si>
  <si>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</si>
  <si>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</si>
  <si>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</si>
  <si>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</si>
  <si>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</si>
  <si>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</si>
  <si>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</si>
  <si>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</si>
  <si>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</si>
  <si>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</si>
  <si>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</si>
  <si>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</si>
  <si>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</si>
  <si>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</si>
  <si>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</si>
  <si>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</si>
  <si>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</si>
  <si>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</si>
  <si>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</si>
  <si>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</si>
  <si>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</si>
  <si>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</si>
  <si>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</si>
  <si>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</si>
  <si>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</si>
  <si>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</si>
  <si>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</si>
  <si>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</si>
  <si>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</si>
  <si>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</si>
  <si>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</si>
  <si>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</si>
  <si>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</si>
  <si>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</si>
  <si>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</si>
  <si>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</si>
  <si>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</si>
  <si>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</si>
  <si>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</si>
  <si>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</si>
  <si>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</si>
  <si>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</si>
  <si>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</si>
  <si>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</si>
  <si>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</si>
  <si>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</si>
  <si>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</si>
  <si>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</si>
  <si>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</si>
  <si>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</si>
  <si>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</si>
  <si>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</si>
  <si>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</si>
  <si>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</si>
  <si>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</si>
  <si>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</si>
  <si>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</si>
  <si>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</si>
  <si>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</si>
  <si>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</si>
  <si>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</si>
  <si>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</si>
  <si>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</si>
  <si>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</si>
  <si>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</si>
  <si>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</si>
  <si>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</si>
  <si>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</si>
  <si>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</si>
  <si>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</si>
  <si>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</si>
  <si>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</si>
  <si>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</si>
  <si>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</si>
  <si>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</si>
  <si>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</si>
  <si>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</si>
  <si>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</si>
  <si>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</si>
  <si>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</si>
  <si>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</si>
  <si>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</si>
  <si>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</si>
  <si>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</si>
  <si>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</si>
  <si>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</si>
  <si>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</si>
  <si>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</si>
  <si>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</si>
  <si>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</si>
  <si>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</si>
  <si>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</si>
  <si>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</si>
  <si>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</si>
  <si>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</si>
  <si>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</si>
  <si>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</si>
  <si>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</si>
  <si>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</si>
  <si>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</si>
  <si>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</si>
  <si>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</si>
  <si>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</si>
  <si>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</si>
  <si>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</si>
  <si>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</si>
  <si>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</si>
  <si>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</si>
  <si>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</si>
  <si>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</si>
  <si>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</si>
  <si>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</si>
  <si>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</si>
  <si>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</si>
  <si>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</si>
  <si>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</si>
  <si>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</si>
  <si>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</si>
  <si>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</si>
  <si>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</si>
  <si>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</si>
  <si>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</si>
  <si>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</si>
  <si>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</si>
  <si>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</si>
  <si>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</si>
  <si>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</si>
  <si>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</si>
  <si>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</si>
  <si>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</si>
  <si>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</si>
  <si>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</si>
  <si>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</si>
  <si>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</si>
  <si>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</si>
  <si>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</si>
  <si>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</si>
  <si>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</si>
  <si>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</si>
  <si>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</si>
  <si>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</si>
  <si>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</si>
  <si>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</si>
  <si>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</si>
  <si>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</si>
  <si>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</si>
  <si>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</si>
  <si>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</si>
  <si>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</si>
  <si>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</si>
  <si>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</si>
  <si>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</si>
  <si>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</si>
  <si>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</si>
  <si>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</si>
  <si>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</si>
  <si>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</si>
  <si>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</si>
  <si>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</si>
  <si>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</si>
  <si>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</si>
  <si>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</si>
  <si>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</si>
  <si>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</si>
  <si>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</si>
  <si>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</si>
  <si>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</si>
  <si>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</si>
  <si>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Central California Housing Corporation</t>
  </si>
  <si>
    <t>Bar Triangle Apartments</t>
  </si>
  <si>
    <t>City of Chico</t>
  </si>
  <si>
    <t>Mark Sorensen</t>
  </si>
  <si>
    <t>P.O. Box 3420</t>
  </si>
  <si>
    <t>Chico</t>
  </si>
  <si>
    <t>95927-3420</t>
  </si>
  <si>
    <t>CMWeb@chicoca.gov</t>
  </si>
  <si>
    <t>2225 Bar Triangle Street</t>
  </si>
  <si>
    <t>002-190-025</t>
  </si>
  <si>
    <t>$500M</t>
  </si>
  <si>
    <t>40%/60%</t>
  </si>
  <si>
    <t>3128 Willow Avenue, Suite 101</t>
  </si>
  <si>
    <t>Clovis</t>
  </si>
  <si>
    <t>CA</t>
  </si>
  <si>
    <t>Laurie Doyle</t>
  </si>
  <si>
    <t>Ldoyle@ahdcinc.com</t>
  </si>
  <si>
    <t>Chico Bar Triangle, LLC (to be formed)</t>
  </si>
  <si>
    <t>Butte County Affordable Housing Development Corporation</t>
  </si>
  <si>
    <t>Administrative GP</t>
  </si>
  <si>
    <t>Managing GP</t>
  </si>
  <si>
    <t>2039 Forest Avenue</t>
  </si>
  <si>
    <t>Edward S. Mayer</t>
  </si>
  <si>
    <t>EdM@Butte-Housing.com</t>
  </si>
  <si>
    <t>Housing Authority of the County of Butte</t>
  </si>
  <si>
    <t>General Partner/Developer</t>
  </si>
  <si>
    <t>TBD</t>
  </si>
  <si>
    <t>Fong Family Partnership</t>
  </si>
  <si>
    <t>Howard Lee Fong</t>
  </si>
  <si>
    <t>Nancy Maureen Gee</t>
  </si>
  <si>
    <t>Manager</t>
  </si>
  <si>
    <t>11 Santos Way, Chico, CA 95973</t>
  </si>
  <si>
    <t>Other (Specify below)</t>
  </si>
  <si>
    <t>3 story walk up</t>
  </si>
  <si>
    <t>Medium-High Density Residential</t>
  </si>
  <si>
    <t>R3 (Medium-High Density Residential) 14-22 units per acre</t>
  </si>
  <si>
    <t>CCHC Developer, LLC</t>
  </si>
  <si>
    <t>Clovis, CA 93612</t>
  </si>
  <si>
    <t>Mogavero Architects</t>
  </si>
  <si>
    <t>1331 T Street</t>
  </si>
  <si>
    <t>Sacramento, CA 95811</t>
  </si>
  <si>
    <t>David Mogavero</t>
  </si>
  <si>
    <t>dmogavero@mogaveroarchitects.com</t>
  </si>
  <si>
    <t>Sunseri Construction, Inc.</t>
  </si>
  <si>
    <t>48 Comanche Court</t>
  </si>
  <si>
    <t>Chico, CA 95928</t>
  </si>
  <si>
    <t>Nyles Armstrong</t>
  </si>
  <si>
    <t>na@sunsericonstruction.com</t>
  </si>
  <si>
    <t>CohnReznick</t>
  </si>
  <si>
    <t>400 Capitol Mall, Suite 900</t>
  </si>
  <si>
    <t>Sacramento, CA 95814</t>
  </si>
  <si>
    <t>Ahamadou Bocar</t>
  </si>
  <si>
    <t>ahamadou.bocar@cohnreznick.com</t>
  </si>
  <si>
    <t>Redwood Energy</t>
  </si>
  <si>
    <t>1887 Q Street</t>
  </si>
  <si>
    <t>Arcata, CA 95521</t>
  </si>
  <si>
    <t>Sean Armstrong</t>
  </si>
  <si>
    <t>seanarmstrongpm@gmail.com</t>
  </si>
  <si>
    <t>Kinetic Valuation Group</t>
  </si>
  <si>
    <t>11060 Oak Street, Suite 6</t>
  </si>
  <si>
    <t>Omaha, NE 68144</t>
  </si>
  <si>
    <t>Jay Wortmann</t>
  </si>
  <si>
    <t>jay@kvgteam.com</t>
  </si>
  <si>
    <t>California Municipal Finance Authority</t>
  </si>
  <si>
    <t>2111 Palomar Airport Rd., Suite 320</t>
  </si>
  <si>
    <t>Carlsbad, CA 92011</t>
  </si>
  <si>
    <t>Benjamin M. Barker</t>
  </si>
  <si>
    <t>bbarker@cmfa-ca.com</t>
  </si>
  <si>
    <t>WinnResidential California L.P.</t>
  </si>
  <si>
    <t>2499 W. Shaw Ave., Suite 103</t>
  </si>
  <si>
    <t>Fresno, CA 93711</t>
  </si>
  <si>
    <t>Oke Johnson</t>
  </si>
  <si>
    <t>okejohnson@winnco.com</t>
  </si>
  <si>
    <t>21.3 units per acre (Maximum 22 units per acre)</t>
  </si>
  <si>
    <t>45 feet maximum</t>
  </si>
  <si>
    <t xml:space="preserve">1BR - 1.25/unit; 2BR - 1.75/unit; 3BR - 2/units; guest parking - 1 space per each five units </t>
  </si>
  <si>
    <t>109 Provided (Parking waiver granted)</t>
  </si>
  <si>
    <t>City of Chico/HCD CDBG-DR</t>
  </si>
  <si>
    <t>Tax-Exempt Bonds</t>
  </si>
  <si>
    <t>Fixed</t>
  </si>
  <si>
    <t>Taxable Bridge Loan</t>
  </si>
  <si>
    <t>Deferred Costs</t>
  </si>
  <si>
    <t>Tax Credit Equity</t>
  </si>
  <si>
    <t>Solar Tax Credits</t>
  </si>
  <si>
    <t>Air Conditioning &amp; Electric PG&amp;E</t>
  </si>
  <si>
    <t>Housing Authority of the Counte of Butte (PBV Units) &amp; CUAC (Non-PBV Units)</t>
  </si>
  <si>
    <t>780 Third Avenue, 16th Floor</t>
  </si>
  <si>
    <t>New York, NY 10017</t>
  </si>
  <si>
    <t>James D. Spound</t>
  </si>
  <si>
    <t>Tax Exempt Bonds</t>
  </si>
  <si>
    <t>Taxable Bonds</t>
  </si>
  <si>
    <t>895 Dove Street, Suite 450</t>
  </si>
  <si>
    <t>Newport Beach, CA 92660</t>
  </si>
  <si>
    <t>Cory Bannister</t>
  </si>
  <si>
    <t>Permanent Loan</t>
  </si>
  <si>
    <t>City of Chico CDBG-DR</t>
  </si>
  <si>
    <t>Office Expenses, Telephone, Bank Charges</t>
  </si>
  <si>
    <t>Payroll Taxes, Workers Comp, Benefits</t>
  </si>
  <si>
    <t>Supplies, Misc. Maintenance</t>
  </si>
  <si>
    <t>Other City of Chico Fee:</t>
  </si>
  <si>
    <t>Other Bond Issuer Fee:</t>
  </si>
  <si>
    <t>City of Chico/CDBG-DR</t>
  </si>
  <si>
    <t>Project-based vouchers (PBVs)</t>
  </si>
  <si>
    <t>Other: Solar</t>
  </si>
  <si>
    <t>Other: Wetland Mitigation Credits</t>
  </si>
  <si>
    <t>Other: Bond Counsel &amp; Borrower Attorney</t>
  </si>
  <si>
    <t>Other: Security During Construction</t>
  </si>
  <si>
    <t>Other: CUAC</t>
  </si>
  <si>
    <t>Other: PW Consultants &amp; Inspections</t>
  </si>
  <si>
    <t>1 bedroom</t>
  </si>
  <si>
    <t>2 bedroom</t>
  </si>
  <si>
    <t>3 bedroom</t>
  </si>
  <si>
    <t>411 Main Street, 2nd Floor</t>
  </si>
  <si>
    <t>Marie Demers</t>
  </si>
  <si>
    <t>Residual Receipts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</si>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</sst>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4">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0" fontId="20"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4" fillId="5" borderId="4" xfId="244" applyFill="1" applyBorder="1" applyAlignment="1" applyProtection="1">
      <alignment horizontal="left"/>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0" fontId="13"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2" fillId="0" borderId="3" xfId="0" applyFont="1" applyBorder="1" applyAlignment="1">
      <alignment horizontal="left"/>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13" fillId="5" borderId="4" xfId="0" applyNumberFormat="1" applyFont="1" applyFill="1" applyBorder="1" applyAlignment="1" applyProtection="1">
      <alignment horizontal="right"/>
      <protection locked="0"/>
    </xf>
    <xf numFmtId="9" fontId="13" fillId="5" borderId="5"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4" xr:uid="{3D096F0E-8C13-44EB-BF58-843FE6406EAD}"/>
    <cellStyle name="20% - Accent1 11" xfId="8726" xr:uid="{5B5D52A9-9043-49AB-967D-0AD2202C5527}"/>
    <cellStyle name="20% - Accent1 2" xfId="2" xr:uid="{00000000-0005-0000-0000-000002000000}"/>
    <cellStyle name="20% - Accent1 2 10" xfId="8727" xr:uid="{B0FEEEED-BCA8-4556-BE0A-A00F8A80D631}"/>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CF18B857-5CC7-49BE-8FC7-242639F80B63}"/>
    <cellStyle name="20% - Accent1 2 2 2 2 2 3" xfId="11288" xr:uid="{D86371BC-1180-4A42-A8A4-CAA96C801582}"/>
    <cellStyle name="20% - Accent1 2 2 2 2 3" xfId="4922" xr:uid="{00000000-0005-0000-0000-000008000000}"/>
    <cellStyle name="20% - Accent1 2 2 2 2 3 2" xfId="13361" xr:uid="{A46E6ACC-35A9-471F-9CA3-16066778A9D4}"/>
    <cellStyle name="20% - Accent1 2 2 2 2 4" xfId="9143" xr:uid="{FD24F04D-8607-4AA7-8CBC-3EFE05B46F78}"/>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CCF135A4-4AD1-454F-8F00-E081BEC54D41}"/>
    <cellStyle name="20% - Accent1 2 2 2 3 2 3" xfId="11701" xr:uid="{0CAA75E5-8AE6-4271-A03D-55C4C58C71DD}"/>
    <cellStyle name="20% - Accent1 2 2 2 3 3" xfId="5335" xr:uid="{00000000-0005-0000-0000-00000C000000}"/>
    <cellStyle name="20% - Accent1 2 2 2 3 3 2" xfId="13774" xr:uid="{3BCFEF68-FF19-4BF7-8534-D0D19EE7E423}"/>
    <cellStyle name="20% - Accent1 2 2 2 3 4" xfId="9556" xr:uid="{F69A1270-7E73-4F4C-BB36-C9E4A5151951}"/>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A8ABF526-28D2-4A7B-8135-3B84D28B6AAE}"/>
    <cellStyle name="20% - Accent1 2 2 2 4 2 3" xfId="12114" xr:uid="{0ECED82D-5AF5-4541-9BF5-6EBE1CB87391}"/>
    <cellStyle name="20% - Accent1 2 2 2 4 3" xfId="5748" xr:uid="{00000000-0005-0000-0000-000010000000}"/>
    <cellStyle name="20% - Accent1 2 2 2 4 3 2" xfId="14187" xr:uid="{C0419E46-0E3F-415C-BF16-5EA7003CB07E}"/>
    <cellStyle name="20% - Accent1 2 2 2 4 4" xfId="9969" xr:uid="{7DCF3658-92DF-4BED-AB1F-BB37E69B5B5F}"/>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DBA8CB12-975F-4091-BE54-695FE2AAF9B3}"/>
    <cellStyle name="20% - Accent1 2 2 2 5 2 3" xfId="12527" xr:uid="{AA17974E-380B-4C81-AEB8-DEB5DAE8571D}"/>
    <cellStyle name="20% - Accent1 2 2 2 5 3" xfId="6161" xr:uid="{00000000-0005-0000-0000-000014000000}"/>
    <cellStyle name="20% - Accent1 2 2 2 5 3 2" xfId="14600" xr:uid="{D64D8A67-6201-451B-8A47-C63D8B5F0B39}"/>
    <cellStyle name="20% - Accent1 2 2 2 5 4" xfId="10382" xr:uid="{91FC5C4C-882D-4FA6-A9B8-8C9CB2422609}"/>
    <cellStyle name="20% - Accent1 2 2 2 6" xfId="2267" xr:uid="{00000000-0005-0000-0000-000015000000}"/>
    <cellStyle name="20% - Accent1 2 2 2 6 2" xfId="6574" xr:uid="{00000000-0005-0000-0000-000016000000}"/>
    <cellStyle name="20% - Accent1 2 2 2 6 2 2" xfId="15013" xr:uid="{E4ECB0C5-4850-455D-8F62-ECAA4AC17640}"/>
    <cellStyle name="20% - Accent1 2 2 2 6 3" xfId="10795" xr:uid="{0F79CCC3-C43A-4290-9C4B-E1D1D50CFC65}"/>
    <cellStyle name="20% - Accent1 2 2 2 7" xfId="4508" xr:uid="{00000000-0005-0000-0000-000017000000}"/>
    <cellStyle name="20% - Accent1 2 2 2 7 2" xfId="12947" xr:uid="{A399D44D-01BA-44B9-A0D5-E94EA238DF7C}"/>
    <cellStyle name="20% - Accent1 2 2 2 8" xfId="8729" xr:uid="{8B8A5DC8-846B-4AE7-A3B0-9E8EF2DB8F32}"/>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E44AC3C7-B4E1-47E5-A348-4C7F9132E27A}"/>
    <cellStyle name="20% - Accent1 2 2 3 2 3" xfId="11287" xr:uid="{DF62A26C-D40D-4CB7-A51B-A1EA8B07D37B}"/>
    <cellStyle name="20% - Accent1 2 2 3 3" xfId="4921" xr:uid="{00000000-0005-0000-0000-00001B000000}"/>
    <cellStyle name="20% - Accent1 2 2 3 3 2" xfId="13360" xr:uid="{E989468C-C6E4-41D8-8076-3966E60813E8}"/>
    <cellStyle name="20% - Accent1 2 2 3 4" xfId="9142" xr:uid="{0C5F7D4A-D07A-4708-A7C5-FA628E650F5A}"/>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77D6E647-CFD9-4443-A634-31EF86A5584D}"/>
    <cellStyle name="20% - Accent1 2 2 4 2 3" xfId="11700" xr:uid="{C8A76F7E-D20A-4073-92E5-F877DF2294C1}"/>
    <cellStyle name="20% - Accent1 2 2 4 3" xfId="5334" xr:uid="{00000000-0005-0000-0000-00001F000000}"/>
    <cellStyle name="20% - Accent1 2 2 4 3 2" xfId="13773" xr:uid="{997CEE75-D670-4139-9D36-960C16198FBB}"/>
    <cellStyle name="20% - Accent1 2 2 4 4" xfId="9555" xr:uid="{0F9DC5B8-26AE-4FC4-8450-80127305B2D7}"/>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DE6BF54F-6426-4FBE-8E58-492CFF6AB4F7}"/>
    <cellStyle name="20% - Accent1 2 2 5 2 3" xfId="12113" xr:uid="{A4E7E023-A0B0-46DC-930F-83DED5949C74}"/>
    <cellStyle name="20% - Accent1 2 2 5 3" xfId="5747" xr:uid="{00000000-0005-0000-0000-000023000000}"/>
    <cellStyle name="20% - Accent1 2 2 5 3 2" xfId="14186" xr:uid="{E0F875E1-2027-4DDA-A92E-227BAD2A7CF8}"/>
    <cellStyle name="20% - Accent1 2 2 5 4" xfId="9968" xr:uid="{FBC866D9-B5D7-4509-A000-8E7169B11C07}"/>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5FDE4163-5C5C-4B04-8B6E-0328676898FA}"/>
    <cellStyle name="20% - Accent1 2 2 6 2 3" xfId="12526" xr:uid="{652C591D-D7D4-4B95-A039-27C77A97ACE6}"/>
    <cellStyle name="20% - Accent1 2 2 6 3" xfId="6160" xr:uid="{00000000-0005-0000-0000-000027000000}"/>
    <cellStyle name="20% - Accent1 2 2 6 3 2" xfId="14599" xr:uid="{FEC25B59-C60A-4BD7-BE53-18BDFD3CE918}"/>
    <cellStyle name="20% - Accent1 2 2 6 4" xfId="10381" xr:uid="{BA0C352A-DBC7-417C-B997-4CCB514359B9}"/>
    <cellStyle name="20% - Accent1 2 2 7" xfId="2266" xr:uid="{00000000-0005-0000-0000-000028000000}"/>
    <cellStyle name="20% - Accent1 2 2 7 2" xfId="6573" xr:uid="{00000000-0005-0000-0000-000029000000}"/>
    <cellStyle name="20% - Accent1 2 2 7 2 2" xfId="15012" xr:uid="{04366A4D-A0B6-4A2A-896A-04F3282EDE87}"/>
    <cellStyle name="20% - Accent1 2 2 7 3" xfId="10794" xr:uid="{F6290CB3-335A-41EE-9CDC-749C96837F1E}"/>
    <cellStyle name="20% - Accent1 2 2 8" xfId="4507" xr:uid="{00000000-0005-0000-0000-00002A000000}"/>
    <cellStyle name="20% - Accent1 2 2 8 2" xfId="12946" xr:uid="{7100EF6F-D23E-4A88-BA34-8473C4CEA47C}"/>
    <cellStyle name="20% - Accent1 2 2 9" xfId="8728" xr:uid="{98CF8B77-A790-42EE-A593-75583194F84A}"/>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7FA5C53B-A87E-426F-B0F0-D4BE2DCD6492}"/>
    <cellStyle name="20% - Accent1 2 3 2 2 3" xfId="11289" xr:uid="{96DA9BEB-6420-4A05-8440-150A0E6C4858}"/>
    <cellStyle name="20% - Accent1 2 3 2 3" xfId="4923" xr:uid="{00000000-0005-0000-0000-00002F000000}"/>
    <cellStyle name="20% - Accent1 2 3 2 3 2" xfId="13362" xr:uid="{613E850C-062B-4273-B703-1B0F9A61C583}"/>
    <cellStyle name="20% - Accent1 2 3 2 4" xfId="9144" xr:uid="{D302129D-CC89-4F5A-B7CA-9BB5FF43F015}"/>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D8C3C2D8-C2ED-43E3-A050-9286D6052A46}"/>
    <cellStyle name="20% - Accent1 2 3 3 2 3" xfId="11702" xr:uid="{D056135D-BBBD-4830-B05B-991F0A3F3937}"/>
    <cellStyle name="20% - Accent1 2 3 3 3" xfId="5336" xr:uid="{00000000-0005-0000-0000-000033000000}"/>
    <cellStyle name="20% - Accent1 2 3 3 3 2" xfId="13775" xr:uid="{2DAC689C-3439-46BA-939D-8E2DC7B0ADA0}"/>
    <cellStyle name="20% - Accent1 2 3 3 4" xfId="9557" xr:uid="{73CFC03E-5AB9-469D-8633-AC64306B51DA}"/>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8968054A-9459-4EE0-A43C-93942F2A6CE4}"/>
    <cellStyle name="20% - Accent1 2 3 4 2 3" xfId="12115" xr:uid="{87416E54-C8CB-44C3-99FA-572AB9C8C872}"/>
    <cellStyle name="20% - Accent1 2 3 4 3" xfId="5749" xr:uid="{00000000-0005-0000-0000-000037000000}"/>
    <cellStyle name="20% - Accent1 2 3 4 3 2" xfId="14188" xr:uid="{A3FC4D49-8DF9-447E-B7BF-DC440191F4A3}"/>
    <cellStyle name="20% - Accent1 2 3 4 4" xfId="9970" xr:uid="{0DE1CA10-891D-40D6-A861-FBAD33821232}"/>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06EAA05F-B00D-44C1-9BE1-1F950F23DE9E}"/>
    <cellStyle name="20% - Accent1 2 3 5 2 3" xfId="12528" xr:uid="{6CD0536F-CCAD-4A53-AF9D-CFF1EF142F48}"/>
    <cellStyle name="20% - Accent1 2 3 5 3" xfId="6162" xr:uid="{00000000-0005-0000-0000-00003B000000}"/>
    <cellStyle name="20% - Accent1 2 3 5 3 2" xfId="14601" xr:uid="{E49668D0-F32A-4B31-A00D-865C4C78A59E}"/>
    <cellStyle name="20% - Accent1 2 3 5 4" xfId="10383" xr:uid="{A6736F16-DDA6-4828-B583-3F58BB0C8289}"/>
    <cellStyle name="20% - Accent1 2 3 6" xfId="2268" xr:uid="{00000000-0005-0000-0000-00003C000000}"/>
    <cellStyle name="20% - Accent1 2 3 6 2" xfId="6575" xr:uid="{00000000-0005-0000-0000-00003D000000}"/>
    <cellStyle name="20% - Accent1 2 3 6 2 2" xfId="15014" xr:uid="{7BC6A78D-1D51-4D6C-81B8-5160E11A8FC3}"/>
    <cellStyle name="20% - Accent1 2 3 6 3" xfId="10796" xr:uid="{0EBF83FF-3B12-436E-9F8E-A192F2F33E4E}"/>
    <cellStyle name="20% - Accent1 2 3 7" xfId="4509" xr:uid="{00000000-0005-0000-0000-00003E000000}"/>
    <cellStyle name="20% - Accent1 2 3 7 2" xfId="12948" xr:uid="{F166044C-25D3-4F68-A848-AA632B2D61A7}"/>
    <cellStyle name="20% - Accent1 2 3 8" xfId="8730" xr:uid="{945C880D-7836-456A-8083-200821AE5DAE}"/>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17CEE990-4DEA-4B8D-ABA1-4E1E7ADAD2B2}"/>
    <cellStyle name="20% - Accent1 2 4 2 3" xfId="11286" xr:uid="{8DE214DD-D359-4837-8957-559C2D0718C1}"/>
    <cellStyle name="20% - Accent1 2 4 3" xfId="4920" xr:uid="{00000000-0005-0000-0000-000042000000}"/>
    <cellStyle name="20% - Accent1 2 4 3 2" xfId="13359" xr:uid="{E0996A67-1AF9-4D66-80A3-3A2FA317D5C9}"/>
    <cellStyle name="20% - Accent1 2 4 4" xfId="9141" xr:uid="{929FEEE6-14A4-4E77-A2FA-CC7BE436EC6B}"/>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90EAA133-F9D9-42B2-920F-08E78B253973}"/>
    <cellStyle name="20% - Accent1 2 5 2 3" xfId="11699" xr:uid="{42EF1EF7-D908-4176-AD89-D837BBD4FEFB}"/>
    <cellStyle name="20% - Accent1 2 5 3" xfId="5333" xr:uid="{00000000-0005-0000-0000-000046000000}"/>
    <cellStyle name="20% - Accent1 2 5 3 2" xfId="13772" xr:uid="{2A188A3B-D1E9-434B-B27F-1EC764539D57}"/>
    <cellStyle name="20% - Accent1 2 5 4" xfId="9554" xr:uid="{8DECA7F8-50BE-4885-A1B1-9B1EBEA401B3}"/>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5CB657DB-E0B7-4450-B736-8919F7384B42}"/>
    <cellStyle name="20% - Accent1 2 6 2 3" xfId="12112" xr:uid="{AAA450D1-441C-49F2-9D23-F936A2B35BA8}"/>
    <cellStyle name="20% - Accent1 2 6 3" xfId="5746" xr:uid="{00000000-0005-0000-0000-00004A000000}"/>
    <cellStyle name="20% - Accent1 2 6 3 2" xfId="14185" xr:uid="{452EDF9A-147E-44AB-B701-7D8F764B406A}"/>
    <cellStyle name="20% - Accent1 2 6 4" xfId="9967" xr:uid="{C3EA4D44-237C-4986-B729-0A8173B5AE0F}"/>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8DE7A3C8-4F92-495F-9085-C23CED2B81BD}"/>
    <cellStyle name="20% - Accent1 2 7 2 3" xfId="12525" xr:uid="{E4722102-C9E6-4C5F-A22B-433CF4F99031}"/>
    <cellStyle name="20% - Accent1 2 7 3" xfId="6159" xr:uid="{00000000-0005-0000-0000-00004E000000}"/>
    <cellStyle name="20% - Accent1 2 7 3 2" xfId="14598" xr:uid="{2C7D618A-7915-4A3B-A4DE-B520A4B0B98E}"/>
    <cellStyle name="20% - Accent1 2 7 4" xfId="10380" xr:uid="{45ADC003-CB1C-44EC-89B1-50A6072A52CA}"/>
    <cellStyle name="20% - Accent1 2 8" xfId="2265" xr:uid="{00000000-0005-0000-0000-00004F000000}"/>
    <cellStyle name="20% - Accent1 2 8 2" xfId="6572" xr:uid="{00000000-0005-0000-0000-000050000000}"/>
    <cellStyle name="20% - Accent1 2 8 2 2" xfId="15011" xr:uid="{A11B816F-28DA-4AD1-8B17-C63C5845186A}"/>
    <cellStyle name="20% - Accent1 2 8 3" xfId="10793" xr:uid="{9208E83E-47EE-4ACD-BA12-B5B913AED088}"/>
    <cellStyle name="20% - Accent1 2 9" xfId="4506" xr:uid="{00000000-0005-0000-0000-000051000000}"/>
    <cellStyle name="20% - Accent1 2 9 2" xfId="12945" xr:uid="{5C6255DB-22E2-426D-8175-0B2EF5B845CA}"/>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8175B1D4-B47D-4A72-8B59-F67B697AC20C}"/>
    <cellStyle name="20% - Accent1 3 2 2 2 3" xfId="11291" xr:uid="{EF09D087-EDA4-4DEE-A247-5CA8DA04E1E1}"/>
    <cellStyle name="20% - Accent1 3 2 2 3" xfId="4925" xr:uid="{00000000-0005-0000-0000-000057000000}"/>
    <cellStyle name="20% - Accent1 3 2 2 3 2" xfId="13364" xr:uid="{DD6B7160-FDAC-4F7C-851B-17328455C081}"/>
    <cellStyle name="20% - Accent1 3 2 2 4" xfId="9146" xr:uid="{8132913E-974E-423A-BA72-0F081562C26E}"/>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A5956BAA-7585-4C31-AE3A-626721F7BF70}"/>
    <cellStyle name="20% - Accent1 3 2 3 2 3" xfId="11704" xr:uid="{C5E4A2D0-1A6B-415E-835B-92B657024455}"/>
    <cellStyle name="20% - Accent1 3 2 3 3" xfId="5338" xr:uid="{00000000-0005-0000-0000-00005B000000}"/>
    <cellStyle name="20% - Accent1 3 2 3 3 2" xfId="13777" xr:uid="{91FDA967-A755-4773-AB81-59D20C8DD130}"/>
    <cellStyle name="20% - Accent1 3 2 3 4" xfId="9559" xr:uid="{DA31F18A-2F2B-46A1-A6B8-77817807D451}"/>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51848B9C-666C-4A24-A35B-BFE1D0A4D575}"/>
    <cellStyle name="20% - Accent1 3 2 4 2 3" xfId="12117" xr:uid="{86C37553-568E-435A-99D4-3A7B91CC56CD}"/>
    <cellStyle name="20% - Accent1 3 2 4 3" xfId="5751" xr:uid="{00000000-0005-0000-0000-00005F000000}"/>
    <cellStyle name="20% - Accent1 3 2 4 3 2" xfId="14190" xr:uid="{56E74625-E6D1-4509-A3C4-84A98A3C3235}"/>
    <cellStyle name="20% - Accent1 3 2 4 4" xfId="9972" xr:uid="{8CFD6382-9804-4D43-94EB-C3843B8AF525}"/>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B6AA3831-615D-4FC7-B533-2F10BC8FA489}"/>
    <cellStyle name="20% - Accent1 3 2 5 2 3" xfId="12530" xr:uid="{97B75A52-6786-4FDA-B7CD-7CAABCA874E7}"/>
    <cellStyle name="20% - Accent1 3 2 5 3" xfId="6164" xr:uid="{00000000-0005-0000-0000-000063000000}"/>
    <cellStyle name="20% - Accent1 3 2 5 3 2" xfId="14603" xr:uid="{3CCBFE08-7290-461A-B5C5-6249C34A8E9B}"/>
    <cellStyle name="20% - Accent1 3 2 5 4" xfId="10385" xr:uid="{D396068D-1D86-4887-AA63-7B1C71D01C72}"/>
    <cellStyle name="20% - Accent1 3 2 6" xfId="2270" xr:uid="{00000000-0005-0000-0000-000064000000}"/>
    <cellStyle name="20% - Accent1 3 2 6 2" xfId="6577" xr:uid="{00000000-0005-0000-0000-000065000000}"/>
    <cellStyle name="20% - Accent1 3 2 6 2 2" xfId="15016" xr:uid="{E1B96747-19D6-42BC-BF92-293F726CBA42}"/>
    <cellStyle name="20% - Accent1 3 2 6 3" xfId="10798" xr:uid="{8FF91DCD-8D31-4B97-BD5E-185C5DDA0EAF}"/>
    <cellStyle name="20% - Accent1 3 2 7" xfId="4511" xr:uid="{00000000-0005-0000-0000-000066000000}"/>
    <cellStyle name="20% - Accent1 3 2 7 2" xfId="12950" xr:uid="{CEB8A250-A35F-4C9B-BD15-779E32022D76}"/>
    <cellStyle name="20% - Accent1 3 2 8" xfId="8732" xr:uid="{63683F20-798E-4828-AC38-3CBAA8DCE0EA}"/>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A4805BE7-624B-46A0-BF35-7BEE2B033C17}"/>
    <cellStyle name="20% - Accent1 3 3 2 3" xfId="11290" xr:uid="{9D4F8EA4-B754-4F67-8243-C60EFF827D63}"/>
    <cellStyle name="20% - Accent1 3 3 3" xfId="4924" xr:uid="{00000000-0005-0000-0000-00006A000000}"/>
    <cellStyle name="20% - Accent1 3 3 3 2" xfId="13363" xr:uid="{F708EFB3-5FAC-4C4F-AFCE-DB1352F49F70}"/>
    <cellStyle name="20% - Accent1 3 3 4" xfId="9145" xr:uid="{5C217FF9-3919-4B75-953C-F3C0C1CD232C}"/>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0E225EEC-5796-4E65-AF98-89EA758424B5}"/>
    <cellStyle name="20% - Accent1 3 4 2 3" xfId="11703" xr:uid="{EF914E93-9DA5-44FC-929C-174F2DA0F178}"/>
    <cellStyle name="20% - Accent1 3 4 3" xfId="5337" xr:uid="{00000000-0005-0000-0000-00006E000000}"/>
    <cellStyle name="20% - Accent1 3 4 3 2" xfId="13776" xr:uid="{8C6F0E27-5940-4BE1-884B-F15236DB4014}"/>
    <cellStyle name="20% - Accent1 3 4 4" xfId="9558" xr:uid="{F8891BDC-75CF-4009-92E7-D23815A9B4C9}"/>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CD27CD09-1094-4B07-B313-32AC53D9F046}"/>
    <cellStyle name="20% - Accent1 3 5 2 3" xfId="12116" xr:uid="{324F8D2A-285E-4148-9EAF-3ABB2C657AA7}"/>
    <cellStyle name="20% - Accent1 3 5 3" xfId="5750" xr:uid="{00000000-0005-0000-0000-000072000000}"/>
    <cellStyle name="20% - Accent1 3 5 3 2" xfId="14189" xr:uid="{1864DB77-E9DF-4704-BAD9-FFEAC4688A8D}"/>
    <cellStyle name="20% - Accent1 3 5 4" xfId="9971" xr:uid="{40450E3B-D8CF-4E7C-A877-E2E8FDA5832F}"/>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60E0C900-AB4D-49C4-B6BE-0A4169473F3A}"/>
    <cellStyle name="20% - Accent1 3 6 2 3" xfId="12529" xr:uid="{8F4ACF9D-1ED8-49CF-92DB-AC234B29D0A7}"/>
    <cellStyle name="20% - Accent1 3 6 3" xfId="6163" xr:uid="{00000000-0005-0000-0000-000076000000}"/>
    <cellStyle name="20% - Accent1 3 6 3 2" xfId="14602" xr:uid="{9B06E866-6636-41AF-873C-CBADC9494125}"/>
    <cellStyle name="20% - Accent1 3 6 4" xfId="10384" xr:uid="{F67F3623-96B1-4BA5-812D-2C8EB932CEBE}"/>
    <cellStyle name="20% - Accent1 3 7" xfId="2269" xr:uid="{00000000-0005-0000-0000-000077000000}"/>
    <cellStyle name="20% - Accent1 3 7 2" xfId="6576" xr:uid="{00000000-0005-0000-0000-000078000000}"/>
    <cellStyle name="20% - Accent1 3 7 2 2" xfId="15015" xr:uid="{48E3661B-1D02-46DC-AC28-FCD3E66A08E9}"/>
    <cellStyle name="20% - Accent1 3 7 3" xfId="10797" xr:uid="{C72F8489-51C2-4442-B0F8-3000A663A098}"/>
    <cellStyle name="20% - Accent1 3 8" xfId="4510" xr:uid="{00000000-0005-0000-0000-000079000000}"/>
    <cellStyle name="20% - Accent1 3 8 2" xfId="12949" xr:uid="{F05E7119-5A1B-41C7-99B1-809F7C169D87}"/>
    <cellStyle name="20% - Accent1 3 9" xfId="8731" xr:uid="{5F07EFC2-2833-4282-B13A-0C353C3B7571}"/>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A7A0E20D-6433-45FD-BCE0-63765EA77836}"/>
    <cellStyle name="20% - Accent1 4 2 2 3" xfId="11292" xr:uid="{24F421AB-B583-4F8D-9797-505BC65963A2}"/>
    <cellStyle name="20% - Accent1 4 2 3" xfId="4926" xr:uid="{00000000-0005-0000-0000-00007E000000}"/>
    <cellStyle name="20% - Accent1 4 2 3 2" xfId="13365" xr:uid="{EB3390A8-A57C-4FD6-8C48-0B6DDD534672}"/>
    <cellStyle name="20% - Accent1 4 2 4" xfId="9147" xr:uid="{480F12A8-BF22-4BC9-8F90-6180927C4D5D}"/>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4C88973B-6DEF-45F8-83A2-7FC0BB204716}"/>
    <cellStyle name="20% - Accent1 4 3 2 3" xfId="11705" xr:uid="{0B35EC52-F821-4775-9193-5E1B0D07251B}"/>
    <cellStyle name="20% - Accent1 4 3 3" xfId="5339" xr:uid="{00000000-0005-0000-0000-000082000000}"/>
    <cellStyle name="20% - Accent1 4 3 3 2" xfId="13778" xr:uid="{9E5D0FA3-4209-47F1-B5D3-517D99BDDE7F}"/>
    <cellStyle name="20% - Accent1 4 3 4" xfId="9560" xr:uid="{6DB24E79-2E68-4911-AFB6-EA6A67EE04DE}"/>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44E0C5E8-CFB9-4173-B88B-2BAA2B5FC815}"/>
    <cellStyle name="20% - Accent1 4 4 2 3" xfId="12118" xr:uid="{AFAEEB12-1A99-4F79-BA67-A3B6E84EA817}"/>
    <cellStyle name="20% - Accent1 4 4 3" xfId="5752" xr:uid="{00000000-0005-0000-0000-000086000000}"/>
    <cellStyle name="20% - Accent1 4 4 3 2" xfId="14191" xr:uid="{29B080E6-1E5F-41FD-85DE-F3BA4AB926B9}"/>
    <cellStyle name="20% - Accent1 4 4 4" xfId="9973" xr:uid="{A1D75FC4-20E0-4CD8-83E4-077248BF20A2}"/>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FEA4D8DB-76C6-4DAD-8715-F88D611E5BCF}"/>
    <cellStyle name="20% - Accent1 4 5 2 3" xfId="12531" xr:uid="{EEFB5D4E-99B8-49B8-827D-52CB8641F6E8}"/>
    <cellStyle name="20% - Accent1 4 5 3" xfId="6165" xr:uid="{00000000-0005-0000-0000-00008A000000}"/>
    <cellStyle name="20% - Accent1 4 5 3 2" xfId="14604" xr:uid="{BD673CE8-7C69-4D07-A9C3-385931940631}"/>
    <cellStyle name="20% - Accent1 4 5 4" xfId="10386" xr:uid="{95C198EB-F079-44EF-AA83-7F1C9DE7FD51}"/>
    <cellStyle name="20% - Accent1 4 6" xfId="2271" xr:uid="{00000000-0005-0000-0000-00008B000000}"/>
    <cellStyle name="20% - Accent1 4 6 2" xfId="6578" xr:uid="{00000000-0005-0000-0000-00008C000000}"/>
    <cellStyle name="20% - Accent1 4 6 2 2" xfId="15017" xr:uid="{693467D7-5704-41AB-99F0-B92C620ADBD3}"/>
    <cellStyle name="20% - Accent1 4 6 3" xfId="10799" xr:uid="{8FB09B33-C2DF-4B94-A27A-962DF823FA38}"/>
    <cellStyle name="20% - Accent1 4 7" xfId="4512" xr:uid="{00000000-0005-0000-0000-00008D000000}"/>
    <cellStyle name="20% - Accent1 4 7 2" xfId="12951" xr:uid="{965617CA-B88A-4BC4-808A-A838F8ACA3B2}"/>
    <cellStyle name="20% - Accent1 4 8" xfId="8733" xr:uid="{2DEA3403-1D43-4395-8A0D-A6E3C852BDFF}"/>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1DBEF88E-8488-4164-992A-9DFEFBE2C76B}"/>
    <cellStyle name="20% - Accent1 5 2 3" xfId="11285" xr:uid="{713F8160-B41E-4B48-90F3-1510FC207922}"/>
    <cellStyle name="20% - Accent1 5 3" xfId="4919" xr:uid="{00000000-0005-0000-0000-000091000000}"/>
    <cellStyle name="20% - Accent1 5 3 2" xfId="13358" xr:uid="{F4045047-BEEA-4005-AC4A-BFD95B8A1791}"/>
    <cellStyle name="20% - Accent1 5 4" xfId="9140" xr:uid="{628A1F4E-8D82-4BFE-8CDD-C3FF5CB8C845}"/>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E8CAB1B6-4431-469A-9F73-B941FE8801C8}"/>
    <cellStyle name="20% - Accent1 6 2 3" xfId="11698" xr:uid="{980A391C-A214-49D1-B250-93D2E2A83079}"/>
    <cellStyle name="20% - Accent1 6 3" xfId="5332" xr:uid="{00000000-0005-0000-0000-000095000000}"/>
    <cellStyle name="20% - Accent1 6 3 2" xfId="13771" xr:uid="{EE29CDD9-21B9-4FDC-8471-29C137FB7E15}"/>
    <cellStyle name="20% - Accent1 6 4" xfId="9553" xr:uid="{CF6F9329-1394-4C07-AD1E-AEF319B841C4}"/>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392985DB-2F0D-49E7-B906-C37F18471A27}"/>
    <cellStyle name="20% - Accent1 7 2 3" xfId="12111" xr:uid="{004BE4A4-52CA-490A-B0ED-9EA185381534}"/>
    <cellStyle name="20% - Accent1 7 3" xfId="5745" xr:uid="{00000000-0005-0000-0000-000099000000}"/>
    <cellStyle name="20% - Accent1 7 3 2" xfId="14184" xr:uid="{87220B77-21AB-4A0E-BF72-2B02C2C4C5FE}"/>
    <cellStyle name="20% - Accent1 7 4" xfId="9966" xr:uid="{1ACBF3D0-3F4F-484B-8F61-0374B998E58D}"/>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6CCBA33B-A535-414E-88A6-112768C6DF0E}"/>
    <cellStyle name="20% - Accent1 8 2 3" xfId="12524" xr:uid="{BF530F8E-D42D-4363-8FEF-AB1E05427D2E}"/>
    <cellStyle name="20% - Accent1 8 3" xfId="6158" xr:uid="{00000000-0005-0000-0000-00009D000000}"/>
    <cellStyle name="20% - Accent1 8 3 2" xfId="14597" xr:uid="{06BF6C07-1A98-493C-9A8E-02337E7E63D6}"/>
    <cellStyle name="20% - Accent1 8 4" xfId="10379" xr:uid="{26D27905-CD7D-4889-8B36-57A0F0B3898B}"/>
    <cellStyle name="20% - Accent1 9" xfId="2264" xr:uid="{00000000-0005-0000-0000-00009E000000}"/>
    <cellStyle name="20% - Accent1 9 2" xfId="6571" xr:uid="{00000000-0005-0000-0000-00009F000000}"/>
    <cellStyle name="20% - Accent1 9 2 2" xfId="15010" xr:uid="{F2D70245-092C-48A9-A9BA-768CCA1B4E61}"/>
    <cellStyle name="20% - Accent1 9 3" xfId="10792" xr:uid="{AD96BD6E-92A2-4D65-B990-640DD1AC46CA}"/>
    <cellStyle name="20% - Accent2" xfId="9" builtinId="34" customBuiltin="1"/>
    <cellStyle name="20% - Accent2 10" xfId="4513" xr:uid="{00000000-0005-0000-0000-0000A1000000}"/>
    <cellStyle name="20% - Accent2 10 2" xfId="12952" xr:uid="{C2AA09DA-4091-483B-8D39-C027153995EE}"/>
    <cellStyle name="20% - Accent2 11" xfId="8734" xr:uid="{E370D928-FE0F-46BE-B1F1-26C4C84C7E77}"/>
    <cellStyle name="20% - Accent2 2" xfId="10" xr:uid="{00000000-0005-0000-0000-0000A2000000}"/>
    <cellStyle name="20% - Accent2 2 10" xfId="8735" xr:uid="{8D4298F6-6460-4B54-BE7F-F24D8BDE1487}"/>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7F2BDF42-82E9-47DC-947B-4B60CA96E430}"/>
    <cellStyle name="20% - Accent2 2 2 2 2 2 3" xfId="11296" xr:uid="{873CF5CA-1DA3-40A7-9DB8-B0AC946C7E58}"/>
    <cellStyle name="20% - Accent2 2 2 2 2 3" xfId="4930" xr:uid="{00000000-0005-0000-0000-0000A8000000}"/>
    <cellStyle name="20% - Accent2 2 2 2 2 3 2" xfId="13369" xr:uid="{97B8912C-4486-4621-BF8B-E037C8356C7E}"/>
    <cellStyle name="20% - Accent2 2 2 2 2 4" xfId="9151" xr:uid="{A25F1CEC-9ACB-456B-8715-3001C6214BCF}"/>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8F0B908C-F32B-4500-9205-C87158C45B01}"/>
    <cellStyle name="20% - Accent2 2 2 2 3 2 3" xfId="11709" xr:uid="{D3763DB4-CFC9-4F51-A30E-242216FBBA8B}"/>
    <cellStyle name="20% - Accent2 2 2 2 3 3" xfId="5343" xr:uid="{00000000-0005-0000-0000-0000AC000000}"/>
    <cellStyle name="20% - Accent2 2 2 2 3 3 2" xfId="13782" xr:uid="{FE38A52D-F1F1-40C2-A827-5CCFF7406B74}"/>
    <cellStyle name="20% - Accent2 2 2 2 3 4" xfId="9564" xr:uid="{F9CB624F-80DC-4E0A-8F52-9A7EB066063F}"/>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D6929CF2-513E-46F0-9F90-3AF554E4EDCA}"/>
    <cellStyle name="20% - Accent2 2 2 2 4 2 3" xfId="12122" xr:uid="{AAC40830-1190-4366-8004-424E0EB9294C}"/>
    <cellStyle name="20% - Accent2 2 2 2 4 3" xfId="5756" xr:uid="{00000000-0005-0000-0000-0000B0000000}"/>
    <cellStyle name="20% - Accent2 2 2 2 4 3 2" xfId="14195" xr:uid="{EB6CC4CD-B82F-442A-B6E6-96B074196FCF}"/>
    <cellStyle name="20% - Accent2 2 2 2 4 4" xfId="9977" xr:uid="{6D168E07-FC2F-44ED-B20E-BDE3CF51C02B}"/>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95D4BE7A-58A8-499C-A436-302CBA2C64C5}"/>
    <cellStyle name="20% - Accent2 2 2 2 5 2 3" xfId="12535" xr:uid="{7886129B-2FDC-4626-8DA1-B6918BEF8E50}"/>
    <cellStyle name="20% - Accent2 2 2 2 5 3" xfId="6169" xr:uid="{00000000-0005-0000-0000-0000B4000000}"/>
    <cellStyle name="20% - Accent2 2 2 2 5 3 2" xfId="14608" xr:uid="{8B7217C8-60FB-4964-9866-D42F69B12A44}"/>
    <cellStyle name="20% - Accent2 2 2 2 5 4" xfId="10390" xr:uid="{F8E73271-0D25-4F8B-8507-E3CF0BC39A75}"/>
    <cellStyle name="20% - Accent2 2 2 2 6" xfId="2275" xr:uid="{00000000-0005-0000-0000-0000B5000000}"/>
    <cellStyle name="20% - Accent2 2 2 2 6 2" xfId="6582" xr:uid="{00000000-0005-0000-0000-0000B6000000}"/>
    <cellStyle name="20% - Accent2 2 2 2 6 2 2" xfId="15021" xr:uid="{E7BB65C8-D91D-4FA2-8C62-226A97BB133B}"/>
    <cellStyle name="20% - Accent2 2 2 2 6 3" xfId="10803" xr:uid="{EEC785DE-AEEC-45B1-9FFB-47538A1C9696}"/>
    <cellStyle name="20% - Accent2 2 2 2 7" xfId="4516" xr:uid="{00000000-0005-0000-0000-0000B7000000}"/>
    <cellStyle name="20% - Accent2 2 2 2 7 2" xfId="12955" xr:uid="{9308EB18-894E-48CB-8849-8DEF6B2CC1AD}"/>
    <cellStyle name="20% - Accent2 2 2 2 8" xfId="8737" xr:uid="{BB268201-3D67-4405-94EA-A8742C062897}"/>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454FCE41-792A-4CF7-9634-2179884FE741}"/>
    <cellStyle name="20% - Accent2 2 2 3 2 3" xfId="11295" xr:uid="{30D46B61-B3DD-48C0-87C9-E8B4A820F524}"/>
    <cellStyle name="20% - Accent2 2 2 3 3" xfId="4929" xr:uid="{00000000-0005-0000-0000-0000BB000000}"/>
    <cellStyle name="20% - Accent2 2 2 3 3 2" xfId="13368" xr:uid="{3009F443-8FB4-4D79-A2A1-2320D59B6019}"/>
    <cellStyle name="20% - Accent2 2 2 3 4" xfId="9150" xr:uid="{0841BEAF-134D-4803-B930-E52B85E50656}"/>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73C70631-CBC8-4FF5-9040-C14C458420C6}"/>
    <cellStyle name="20% - Accent2 2 2 4 2 3" xfId="11708" xr:uid="{92986BF7-870D-478A-A3F5-5C99DF6B5DEC}"/>
    <cellStyle name="20% - Accent2 2 2 4 3" xfId="5342" xr:uid="{00000000-0005-0000-0000-0000BF000000}"/>
    <cellStyle name="20% - Accent2 2 2 4 3 2" xfId="13781" xr:uid="{5043456F-C0AB-4788-A600-EDD340572C92}"/>
    <cellStyle name="20% - Accent2 2 2 4 4" xfId="9563" xr:uid="{A4AF6003-66C3-481C-B5CD-5AC42DAAF8F6}"/>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4CBC9170-9741-417A-9115-770BCD86ED9F}"/>
    <cellStyle name="20% - Accent2 2 2 5 2 3" xfId="12121" xr:uid="{5FFD7025-A743-4A88-970A-0C26D4C711F8}"/>
    <cellStyle name="20% - Accent2 2 2 5 3" xfId="5755" xr:uid="{00000000-0005-0000-0000-0000C3000000}"/>
    <cellStyle name="20% - Accent2 2 2 5 3 2" xfId="14194" xr:uid="{43716E58-8AD7-4E1E-A417-A15E17B30C25}"/>
    <cellStyle name="20% - Accent2 2 2 5 4" xfId="9976" xr:uid="{21049594-278F-4E05-9A99-740EE6183C14}"/>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4F12E64B-B44E-4F57-A820-CC5B43C2170A}"/>
    <cellStyle name="20% - Accent2 2 2 6 2 3" xfId="12534" xr:uid="{4B8D1F6F-4AA3-42F2-AFCB-ABA1BB92CAFC}"/>
    <cellStyle name="20% - Accent2 2 2 6 3" xfId="6168" xr:uid="{00000000-0005-0000-0000-0000C7000000}"/>
    <cellStyle name="20% - Accent2 2 2 6 3 2" xfId="14607" xr:uid="{D4215508-4DA9-46F8-BD88-3C3872A92C81}"/>
    <cellStyle name="20% - Accent2 2 2 6 4" xfId="10389" xr:uid="{6D3EA0AD-770A-4FC2-8C0C-D2DDB5C0ABC0}"/>
    <cellStyle name="20% - Accent2 2 2 7" xfId="2274" xr:uid="{00000000-0005-0000-0000-0000C8000000}"/>
    <cellStyle name="20% - Accent2 2 2 7 2" xfId="6581" xr:uid="{00000000-0005-0000-0000-0000C9000000}"/>
    <cellStyle name="20% - Accent2 2 2 7 2 2" xfId="15020" xr:uid="{A8916311-1BAE-4B99-9BD4-4584DEF2168F}"/>
    <cellStyle name="20% - Accent2 2 2 7 3" xfId="10802" xr:uid="{24E03A6D-9835-47BF-BB8C-3DF826007CFA}"/>
    <cellStyle name="20% - Accent2 2 2 8" xfId="4515" xr:uid="{00000000-0005-0000-0000-0000CA000000}"/>
    <cellStyle name="20% - Accent2 2 2 8 2" xfId="12954" xr:uid="{8F609346-211E-4E27-ABCA-09474F40C637}"/>
    <cellStyle name="20% - Accent2 2 2 9" xfId="8736" xr:uid="{A42B5A28-4B98-4A61-9850-6A24ABB6CD2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F4E317CF-3D45-4B46-A7EE-FD5793EF063E}"/>
    <cellStyle name="20% - Accent2 2 3 2 2 3" xfId="11297" xr:uid="{8833A431-480E-4FB2-9C35-FA2BDC423ACA}"/>
    <cellStyle name="20% - Accent2 2 3 2 3" xfId="4931" xr:uid="{00000000-0005-0000-0000-0000CF000000}"/>
    <cellStyle name="20% - Accent2 2 3 2 3 2" xfId="13370" xr:uid="{C82CC741-0348-460C-8CC9-2964CA415F69}"/>
    <cellStyle name="20% - Accent2 2 3 2 4" xfId="9152" xr:uid="{57AB56E3-92D9-463E-8C25-C24463FD2A17}"/>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422BF764-1849-4D55-834C-2EFA7212E1D3}"/>
    <cellStyle name="20% - Accent2 2 3 3 2 3" xfId="11710" xr:uid="{65CA73E0-9EAA-45AA-929C-EF4E0D8FBADD}"/>
    <cellStyle name="20% - Accent2 2 3 3 3" xfId="5344" xr:uid="{00000000-0005-0000-0000-0000D3000000}"/>
    <cellStyle name="20% - Accent2 2 3 3 3 2" xfId="13783" xr:uid="{942C4890-3C8E-4F6E-8B42-D0DCECB8316C}"/>
    <cellStyle name="20% - Accent2 2 3 3 4" xfId="9565" xr:uid="{02458F9A-3543-467C-BF02-6762CC3D4D18}"/>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17FBCC53-D677-4348-9BB7-F092D89A2E34}"/>
    <cellStyle name="20% - Accent2 2 3 4 2 3" xfId="12123" xr:uid="{A98522D0-5709-49CC-BB12-B4CCE75C5654}"/>
    <cellStyle name="20% - Accent2 2 3 4 3" xfId="5757" xr:uid="{00000000-0005-0000-0000-0000D7000000}"/>
    <cellStyle name="20% - Accent2 2 3 4 3 2" xfId="14196" xr:uid="{02CEEE0A-C9FE-478F-8729-7C3D7BE4D458}"/>
    <cellStyle name="20% - Accent2 2 3 4 4" xfId="9978" xr:uid="{A30302C5-13A8-4311-B347-2BB981098D70}"/>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7E7F163F-901A-4179-A8E8-300F41C03DB6}"/>
    <cellStyle name="20% - Accent2 2 3 5 2 3" xfId="12536" xr:uid="{035EF4F7-109E-42A4-8198-5A910592A815}"/>
    <cellStyle name="20% - Accent2 2 3 5 3" xfId="6170" xr:uid="{00000000-0005-0000-0000-0000DB000000}"/>
    <cellStyle name="20% - Accent2 2 3 5 3 2" xfId="14609" xr:uid="{BCADA6A9-BA0F-46E8-8339-74CD88326709}"/>
    <cellStyle name="20% - Accent2 2 3 5 4" xfId="10391" xr:uid="{D2F1106F-1BD8-49F1-8911-C3126AEADF14}"/>
    <cellStyle name="20% - Accent2 2 3 6" xfId="2276" xr:uid="{00000000-0005-0000-0000-0000DC000000}"/>
    <cellStyle name="20% - Accent2 2 3 6 2" xfId="6583" xr:uid="{00000000-0005-0000-0000-0000DD000000}"/>
    <cellStyle name="20% - Accent2 2 3 6 2 2" xfId="15022" xr:uid="{FB215FD5-E664-44D4-8C4B-937E1B3760C9}"/>
    <cellStyle name="20% - Accent2 2 3 6 3" xfId="10804" xr:uid="{767CF142-F11E-4546-94C0-CA25F5DB8A2E}"/>
    <cellStyle name="20% - Accent2 2 3 7" xfId="4517" xr:uid="{00000000-0005-0000-0000-0000DE000000}"/>
    <cellStyle name="20% - Accent2 2 3 7 2" xfId="12956" xr:uid="{E18812F7-38FB-4B37-85D9-8CD3324FCA41}"/>
    <cellStyle name="20% - Accent2 2 3 8" xfId="8738" xr:uid="{73FA1F2D-92DC-4F2C-8ECD-24E40589B1BF}"/>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2B7C3EAC-742A-452D-A54C-56B9F61D9A45}"/>
    <cellStyle name="20% - Accent2 2 4 2 3" xfId="11294" xr:uid="{FA6B86E5-AF0C-4FBF-BED3-C761AB1310A5}"/>
    <cellStyle name="20% - Accent2 2 4 3" xfId="4928" xr:uid="{00000000-0005-0000-0000-0000E2000000}"/>
    <cellStyle name="20% - Accent2 2 4 3 2" xfId="13367" xr:uid="{FAD01221-A80B-4691-9003-1EF225AC198F}"/>
    <cellStyle name="20% - Accent2 2 4 4" xfId="9149" xr:uid="{4F3B578C-AE93-48D9-8C84-C79B0F65AF44}"/>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84D49667-0CB2-4AA4-ACA2-7F50C38C6806}"/>
    <cellStyle name="20% - Accent2 2 5 2 3" xfId="11707" xr:uid="{0BC80517-BF8A-4134-942F-50B4A464BE10}"/>
    <cellStyle name="20% - Accent2 2 5 3" xfId="5341" xr:uid="{00000000-0005-0000-0000-0000E6000000}"/>
    <cellStyle name="20% - Accent2 2 5 3 2" xfId="13780" xr:uid="{C383C0D6-2DCF-4491-BBD8-CE5889B2AB97}"/>
    <cellStyle name="20% - Accent2 2 5 4" xfId="9562" xr:uid="{E4645D2C-DCC9-4BEE-8E8F-A5400BD8C00F}"/>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5C82D862-B853-4718-8EFB-45B5AF85670E}"/>
    <cellStyle name="20% - Accent2 2 6 2 3" xfId="12120" xr:uid="{EB61A56F-76E8-4851-921D-7137894A9BFE}"/>
    <cellStyle name="20% - Accent2 2 6 3" xfId="5754" xr:uid="{00000000-0005-0000-0000-0000EA000000}"/>
    <cellStyle name="20% - Accent2 2 6 3 2" xfId="14193" xr:uid="{0EBEEF5E-0401-4880-AAE7-AE083DEE61AD}"/>
    <cellStyle name="20% - Accent2 2 6 4" xfId="9975" xr:uid="{10ED2BE0-26A2-46C0-9530-33E788666E64}"/>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1528C71E-7446-4ED5-97D1-243D0114A18F}"/>
    <cellStyle name="20% - Accent2 2 7 2 3" xfId="12533" xr:uid="{06FDA932-57FA-4FA3-A6D4-B27907CBDBCC}"/>
    <cellStyle name="20% - Accent2 2 7 3" xfId="6167" xr:uid="{00000000-0005-0000-0000-0000EE000000}"/>
    <cellStyle name="20% - Accent2 2 7 3 2" xfId="14606" xr:uid="{C59C75EE-1FD5-41F6-B331-CAE290D74373}"/>
    <cellStyle name="20% - Accent2 2 7 4" xfId="10388" xr:uid="{318BD6AD-047C-4A12-B92E-CF3CBB160EED}"/>
    <cellStyle name="20% - Accent2 2 8" xfId="2273" xr:uid="{00000000-0005-0000-0000-0000EF000000}"/>
    <cellStyle name="20% - Accent2 2 8 2" xfId="6580" xr:uid="{00000000-0005-0000-0000-0000F0000000}"/>
    <cellStyle name="20% - Accent2 2 8 2 2" xfId="15019" xr:uid="{6187A74C-7F7A-4159-AD8F-3A85503013E2}"/>
    <cellStyle name="20% - Accent2 2 8 3" xfId="10801" xr:uid="{2F8A5C80-A83C-4DCE-8C09-3BC751A4150C}"/>
    <cellStyle name="20% - Accent2 2 9" xfId="4514" xr:uid="{00000000-0005-0000-0000-0000F1000000}"/>
    <cellStyle name="20% - Accent2 2 9 2" xfId="12953" xr:uid="{B7CBD9AF-457D-4693-97BC-09D99F84E64C}"/>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A9B80D79-45A5-47AD-A197-8BB71D985DF7}"/>
    <cellStyle name="20% - Accent2 3 2 2 2 3" xfId="11299" xr:uid="{B3F4FC98-95B7-4A08-9FF4-F5F9CFD4A7A7}"/>
    <cellStyle name="20% - Accent2 3 2 2 3" xfId="4933" xr:uid="{00000000-0005-0000-0000-0000F7000000}"/>
    <cellStyle name="20% - Accent2 3 2 2 3 2" xfId="13372" xr:uid="{A65E151F-F838-4A66-9711-CD77A3D64942}"/>
    <cellStyle name="20% - Accent2 3 2 2 4" xfId="9154" xr:uid="{1DB8CF41-8337-439E-8FD7-A27E2E11C401}"/>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53069430-D3A9-480A-8537-BE48D4221F5C}"/>
    <cellStyle name="20% - Accent2 3 2 3 2 3" xfId="11712" xr:uid="{270C2E68-33D9-4193-B58F-87D2C30E6EE5}"/>
    <cellStyle name="20% - Accent2 3 2 3 3" xfId="5346" xr:uid="{00000000-0005-0000-0000-0000FB000000}"/>
    <cellStyle name="20% - Accent2 3 2 3 3 2" xfId="13785" xr:uid="{2B56FEFE-4DFC-480A-B336-1AE3CD5A8155}"/>
    <cellStyle name="20% - Accent2 3 2 3 4" xfId="9567" xr:uid="{7A86E425-8542-4C0F-BCCE-BC2870DE1F16}"/>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F10318A8-A4C6-42EC-8490-1C3A92B4C137}"/>
    <cellStyle name="20% - Accent2 3 2 4 2 3" xfId="12125" xr:uid="{7DC2D490-BA6C-499A-A332-A1D1ED274793}"/>
    <cellStyle name="20% - Accent2 3 2 4 3" xfId="5759" xr:uid="{00000000-0005-0000-0000-0000FF000000}"/>
    <cellStyle name="20% - Accent2 3 2 4 3 2" xfId="14198" xr:uid="{5912A987-D1B3-4679-9A8A-286F05AF0A60}"/>
    <cellStyle name="20% - Accent2 3 2 4 4" xfId="9980" xr:uid="{7D4C367A-F111-4B97-AC77-EF08CBD950D4}"/>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F9086D0A-ABE5-4F3F-9C6C-E1827C1B8749}"/>
    <cellStyle name="20% - Accent2 3 2 5 2 3" xfId="12538" xr:uid="{8683BF8E-4377-4CEC-8961-2E97DF773738}"/>
    <cellStyle name="20% - Accent2 3 2 5 3" xfId="6172" xr:uid="{00000000-0005-0000-0000-000003010000}"/>
    <cellStyle name="20% - Accent2 3 2 5 3 2" xfId="14611" xr:uid="{FE81C108-F229-4837-BC53-7307965E11DB}"/>
    <cellStyle name="20% - Accent2 3 2 5 4" xfId="10393" xr:uid="{DD4D7546-339B-4FFF-BA18-A8B0923E3634}"/>
    <cellStyle name="20% - Accent2 3 2 6" xfId="2278" xr:uid="{00000000-0005-0000-0000-000004010000}"/>
    <cellStyle name="20% - Accent2 3 2 6 2" xfId="6585" xr:uid="{00000000-0005-0000-0000-000005010000}"/>
    <cellStyle name="20% - Accent2 3 2 6 2 2" xfId="15024" xr:uid="{311DAD0A-1C18-4D6F-B91D-3DF27B8E5109}"/>
    <cellStyle name="20% - Accent2 3 2 6 3" xfId="10806" xr:uid="{E72A1E30-4D21-4264-8717-15FECDF1FC1D}"/>
    <cellStyle name="20% - Accent2 3 2 7" xfId="4519" xr:uid="{00000000-0005-0000-0000-000006010000}"/>
    <cellStyle name="20% - Accent2 3 2 7 2" xfId="12958" xr:uid="{0A295ABE-8640-4165-B41A-0BC892213C43}"/>
    <cellStyle name="20% - Accent2 3 2 8" xfId="8740" xr:uid="{430209BE-ABB5-424F-BA64-FE359973309D}"/>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F39D9171-8C21-4213-9C14-6D084CDCE53E}"/>
    <cellStyle name="20% - Accent2 3 3 2 3" xfId="11298" xr:uid="{665EBF01-10B0-41B4-9D48-089DB60AA04B}"/>
    <cellStyle name="20% - Accent2 3 3 3" xfId="4932" xr:uid="{00000000-0005-0000-0000-00000A010000}"/>
    <cellStyle name="20% - Accent2 3 3 3 2" xfId="13371" xr:uid="{0173C8D8-F184-4523-BA1E-AF396019F3C9}"/>
    <cellStyle name="20% - Accent2 3 3 4" xfId="9153" xr:uid="{8CFEEFB0-DFEA-4F73-92CA-C24DB16635BE}"/>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4F0DBC67-281E-4932-971B-8D20AB6B8820}"/>
    <cellStyle name="20% - Accent2 3 4 2 3" xfId="11711" xr:uid="{DD8EBED8-BAF1-40E2-9919-4B677AE494E6}"/>
    <cellStyle name="20% - Accent2 3 4 3" xfId="5345" xr:uid="{00000000-0005-0000-0000-00000E010000}"/>
    <cellStyle name="20% - Accent2 3 4 3 2" xfId="13784" xr:uid="{E5742D81-4054-4DFE-A34F-5049E5536AA6}"/>
    <cellStyle name="20% - Accent2 3 4 4" xfId="9566" xr:uid="{8725DC97-3435-4C87-8091-016239462373}"/>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86A09472-D045-4196-82FF-F47F28EE7A4A}"/>
    <cellStyle name="20% - Accent2 3 5 2 3" xfId="12124" xr:uid="{8C9A391E-A5CB-4A1D-AF16-4F506795C8C0}"/>
    <cellStyle name="20% - Accent2 3 5 3" xfId="5758" xr:uid="{00000000-0005-0000-0000-000012010000}"/>
    <cellStyle name="20% - Accent2 3 5 3 2" xfId="14197" xr:uid="{B71B7F0D-D2D4-4E35-9583-489B07F605FD}"/>
    <cellStyle name="20% - Accent2 3 5 4" xfId="9979" xr:uid="{9053A6C3-08BB-4A7B-ACC0-D158E82CD575}"/>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5D84BAE2-450D-4A3C-96D8-12B067D4C0C3}"/>
    <cellStyle name="20% - Accent2 3 6 2 3" xfId="12537" xr:uid="{43BD2DAB-12D2-4D1D-AA2A-5C0C09CCD296}"/>
    <cellStyle name="20% - Accent2 3 6 3" xfId="6171" xr:uid="{00000000-0005-0000-0000-000016010000}"/>
    <cellStyle name="20% - Accent2 3 6 3 2" xfId="14610" xr:uid="{5862CE0C-08CB-4B80-BFDD-B6779C25FD4C}"/>
    <cellStyle name="20% - Accent2 3 6 4" xfId="10392" xr:uid="{6F42B9B7-5A13-4172-9EE3-0D7D856A17E1}"/>
    <cellStyle name="20% - Accent2 3 7" xfId="2277" xr:uid="{00000000-0005-0000-0000-000017010000}"/>
    <cellStyle name="20% - Accent2 3 7 2" xfId="6584" xr:uid="{00000000-0005-0000-0000-000018010000}"/>
    <cellStyle name="20% - Accent2 3 7 2 2" xfId="15023" xr:uid="{83A9D365-F044-4F15-9637-0616DC25B150}"/>
    <cellStyle name="20% - Accent2 3 7 3" xfId="10805" xr:uid="{BCBFF8B8-98D7-40D7-B48B-7E105C0D4338}"/>
    <cellStyle name="20% - Accent2 3 8" xfId="4518" xr:uid="{00000000-0005-0000-0000-000019010000}"/>
    <cellStyle name="20% - Accent2 3 8 2" xfId="12957" xr:uid="{CEB8B3B8-6FD1-4CAF-B314-F089D6BF84D0}"/>
    <cellStyle name="20% - Accent2 3 9" xfId="8739" xr:uid="{CB1BFF25-6C96-41E6-AECC-DF1031A40A99}"/>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E15EC905-DFE0-47B0-B8C6-1E51E4607BED}"/>
    <cellStyle name="20% - Accent2 4 2 2 3" xfId="11300" xr:uid="{6B810DDC-912A-4CF4-9AE7-C4AEA71745D0}"/>
    <cellStyle name="20% - Accent2 4 2 3" xfId="4934" xr:uid="{00000000-0005-0000-0000-00001E010000}"/>
    <cellStyle name="20% - Accent2 4 2 3 2" xfId="13373" xr:uid="{4BEC7ED1-26D9-4138-A365-53ED47E91C45}"/>
    <cellStyle name="20% - Accent2 4 2 4" xfId="9155" xr:uid="{0F059C49-C816-46EB-AC17-830EEA75EFB1}"/>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EB417B62-DE86-4B44-8C35-E7558601427C}"/>
    <cellStyle name="20% - Accent2 4 3 2 3" xfId="11713" xr:uid="{33C7B21C-FD76-4277-8AA2-E70BA4A4D4B8}"/>
    <cellStyle name="20% - Accent2 4 3 3" xfId="5347" xr:uid="{00000000-0005-0000-0000-000022010000}"/>
    <cellStyle name="20% - Accent2 4 3 3 2" xfId="13786" xr:uid="{0C802CB3-3E2E-4EB3-BF3C-B9AD89626A27}"/>
    <cellStyle name="20% - Accent2 4 3 4" xfId="9568" xr:uid="{C6CBA4C9-791F-44C8-ACF6-DD8DCC456F58}"/>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D896A0F8-7F73-4799-BE15-0C3B033B1771}"/>
    <cellStyle name="20% - Accent2 4 4 2 3" xfId="12126" xr:uid="{9B766F31-12F4-463F-8E71-5A73BE5C145F}"/>
    <cellStyle name="20% - Accent2 4 4 3" xfId="5760" xr:uid="{00000000-0005-0000-0000-000026010000}"/>
    <cellStyle name="20% - Accent2 4 4 3 2" xfId="14199" xr:uid="{FD3358A5-A1ED-4CA4-A327-8CE63E756D61}"/>
    <cellStyle name="20% - Accent2 4 4 4" xfId="9981" xr:uid="{47A1C0C9-7750-4941-926F-A4A9F5D92DE6}"/>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1B68EB61-8A97-40E6-AD7E-BCCE047335AD}"/>
    <cellStyle name="20% - Accent2 4 5 2 3" xfId="12539" xr:uid="{45AF7D61-CEFB-4DFC-9EA8-44F1F2FBDBDF}"/>
    <cellStyle name="20% - Accent2 4 5 3" xfId="6173" xr:uid="{00000000-0005-0000-0000-00002A010000}"/>
    <cellStyle name="20% - Accent2 4 5 3 2" xfId="14612" xr:uid="{E7B3EF2A-D890-4EAA-821E-24058ACF0298}"/>
    <cellStyle name="20% - Accent2 4 5 4" xfId="10394" xr:uid="{1EEA2954-5001-4BC2-B681-27ABE61B4200}"/>
    <cellStyle name="20% - Accent2 4 6" xfId="2279" xr:uid="{00000000-0005-0000-0000-00002B010000}"/>
    <cellStyle name="20% - Accent2 4 6 2" xfId="6586" xr:uid="{00000000-0005-0000-0000-00002C010000}"/>
    <cellStyle name="20% - Accent2 4 6 2 2" xfId="15025" xr:uid="{E21EBE4B-2777-49C7-B3F1-82A2E4BFFEDF}"/>
    <cellStyle name="20% - Accent2 4 6 3" xfId="10807" xr:uid="{97F2C902-2E8D-4601-9EC3-7F954E849491}"/>
    <cellStyle name="20% - Accent2 4 7" xfId="4520" xr:uid="{00000000-0005-0000-0000-00002D010000}"/>
    <cellStyle name="20% - Accent2 4 7 2" xfId="12959" xr:uid="{D752572A-7209-496B-9360-18E349650F36}"/>
    <cellStyle name="20% - Accent2 4 8" xfId="8741" xr:uid="{F2A6B06B-7C24-4119-9D54-5DC2B3361541}"/>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2BAC34B6-32FC-4034-9593-5353FD37A374}"/>
    <cellStyle name="20% - Accent2 5 2 3" xfId="11293" xr:uid="{E16BB315-10B1-44EC-B111-73B2566E57AD}"/>
    <cellStyle name="20% - Accent2 5 3" xfId="4927" xr:uid="{00000000-0005-0000-0000-000031010000}"/>
    <cellStyle name="20% - Accent2 5 3 2" xfId="13366" xr:uid="{40464478-0B4C-4AF8-827D-A8C8A9444354}"/>
    <cellStyle name="20% - Accent2 5 4" xfId="9148" xr:uid="{7B17FD85-BF20-4FC7-880A-3B0D8D9802A6}"/>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987A632C-97F9-46B0-A7CE-804941B1A381}"/>
    <cellStyle name="20% - Accent2 6 2 3" xfId="11706" xr:uid="{40E6D1DC-937B-4BBF-8E30-503225156BAD}"/>
    <cellStyle name="20% - Accent2 6 3" xfId="5340" xr:uid="{00000000-0005-0000-0000-000035010000}"/>
    <cellStyle name="20% - Accent2 6 3 2" xfId="13779" xr:uid="{2010008B-1FBB-464D-A22E-EBC7A11FFCEC}"/>
    <cellStyle name="20% - Accent2 6 4" xfId="9561" xr:uid="{88B97EAD-1BDB-471D-A925-1F70A1E70B55}"/>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EF8B1D1A-264C-4086-8CB6-4D176DBCF529}"/>
    <cellStyle name="20% - Accent2 7 2 3" xfId="12119" xr:uid="{7669D925-F886-4FE4-B35D-E66934DBDB12}"/>
    <cellStyle name="20% - Accent2 7 3" xfId="5753" xr:uid="{00000000-0005-0000-0000-000039010000}"/>
    <cellStyle name="20% - Accent2 7 3 2" xfId="14192" xr:uid="{AD0E40EC-9187-4144-AA40-F6D7F0C6F4F9}"/>
    <cellStyle name="20% - Accent2 7 4" xfId="9974" xr:uid="{ADE85C92-C346-49B8-B027-D1A567729C8A}"/>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069270ED-157C-4131-85A7-C42F41B33DDA}"/>
    <cellStyle name="20% - Accent2 8 2 3" xfId="12532" xr:uid="{FFEAAA23-E85E-42FF-A0CF-F02C6C6C0CCD}"/>
    <cellStyle name="20% - Accent2 8 3" xfId="6166" xr:uid="{00000000-0005-0000-0000-00003D010000}"/>
    <cellStyle name="20% - Accent2 8 3 2" xfId="14605" xr:uid="{75730A03-DD98-4F64-99DC-577A1AE08C5F}"/>
    <cellStyle name="20% - Accent2 8 4" xfId="10387" xr:uid="{A5C94A45-1530-41D7-B946-5958BF98D74C}"/>
    <cellStyle name="20% - Accent2 9" xfId="2272" xr:uid="{00000000-0005-0000-0000-00003E010000}"/>
    <cellStyle name="20% - Accent2 9 2" xfId="6579" xr:uid="{00000000-0005-0000-0000-00003F010000}"/>
    <cellStyle name="20% - Accent2 9 2 2" xfId="15018" xr:uid="{6586F05A-8C83-4BDF-9651-30B3DD991C04}"/>
    <cellStyle name="20% - Accent2 9 3" xfId="10800" xr:uid="{D8CCA863-5EDD-439A-AB8E-AB93DC5CAB14}"/>
    <cellStyle name="20% - Accent3" xfId="17" builtinId="38" customBuiltin="1"/>
    <cellStyle name="20% - Accent3 10" xfId="4521" xr:uid="{00000000-0005-0000-0000-000041010000}"/>
    <cellStyle name="20% - Accent3 10 2" xfId="12960" xr:uid="{DBE1F8CF-E8D5-45B6-A0B9-4FEC4FCF474B}"/>
    <cellStyle name="20% - Accent3 11" xfId="8742" xr:uid="{D44297C9-2726-4E67-AD07-01C6714CEFDB}"/>
    <cellStyle name="20% - Accent3 2" xfId="18" xr:uid="{00000000-0005-0000-0000-000042010000}"/>
    <cellStyle name="20% - Accent3 2 10" xfId="8743" xr:uid="{50433511-47B8-4A3F-A1F8-B4D51B6917A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FF75C8F3-81F6-4362-8793-1B3BAD1FFBD4}"/>
    <cellStyle name="20% - Accent3 2 2 2 2 2 3" xfId="11304" xr:uid="{EC4D0F37-B3E6-42BA-871E-57F72BE0DBBF}"/>
    <cellStyle name="20% - Accent3 2 2 2 2 3" xfId="4938" xr:uid="{00000000-0005-0000-0000-000048010000}"/>
    <cellStyle name="20% - Accent3 2 2 2 2 3 2" xfId="13377" xr:uid="{705DF2D2-633B-4316-9136-A6D4587032C7}"/>
    <cellStyle name="20% - Accent3 2 2 2 2 4" xfId="9159" xr:uid="{70B04A68-1590-4EDF-8836-846C65DAD9E5}"/>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5D920C44-EF77-4736-B10D-AD6315D6693C}"/>
    <cellStyle name="20% - Accent3 2 2 2 3 2 3" xfId="11717" xr:uid="{33EAFC72-78B2-4F87-87D4-531EBD0D4B1C}"/>
    <cellStyle name="20% - Accent3 2 2 2 3 3" xfId="5351" xr:uid="{00000000-0005-0000-0000-00004C010000}"/>
    <cellStyle name="20% - Accent3 2 2 2 3 3 2" xfId="13790" xr:uid="{FB5EEC96-ED28-40A5-BE04-A2BFD61591F4}"/>
    <cellStyle name="20% - Accent3 2 2 2 3 4" xfId="9572" xr:uid="{E2D48098-1F59-4992-B680-DA1E5D0A5D7F}"/>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21BF560F-CEBC-4537-9CEA-A574047867DE}"/>
    <cellStyle name="20% - Accent3 2 2 2 4 2 3" xfId="12130" xr:uid="{088D6CEC-2C34-403B-BF1C-53B832A288E5}"/>
    <cellStyle name="20% - Accent3 2 2 2 4 3" xfId="5764" xr:uid="{00000000-0005-0000-0000-000050010000}"/>
    <cellStyle name="20% - Accent3 2 2 2 4 3 2" xfId="14203" xr:uid="{C1044B28-A99B-4C68-B4C3-F5E264DA4356}"/>
    <cellStyle name="20% - Accent3 2 2 2 4 4" xfId="9985" xr:uid="{375B8122-8C4E-4B15-8EDC-ADEAB52F8C81}"/>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78E9FDC9-2C48-4551-88FE-0B1BD99AC131}"/>
    <cellStyle name="20% - Accent3 2 2 2 5 2 3" xfId="12543" xr:uid="{767BA7CF-73E3-4C28-8015-63BC71EF28A1}"/>
    <cellStyle name="20% - Accent3 2 2 2 5 3" xfId="6177" xr:uid="{00000000-0005-0000-0000-000054010000}"/>
    <cellStyle name="20% - Accent3 2 2 2 5 3 2" xfId="14616" xr:uid="{915369CD-8B0C-4EEA-B897-00FAB3F8EBE5}"/>
    <cellStyle name="20% - Accent3 2 2 2 5 4" xfId="10398" xr:uid="{D2F759AD-13C8-4C28-83E1-1A63BC3AD0EA}"/>
    <cellStyle name="20% - Accent3 2 2 2 6" xfId="2283" xr:uid="{00000000-0005-0000-0000-000055010000}"/>
    <cellStyle name="20% - Accent3 2 2 2 6 2" xfId="6590" xr:uid="{00000000-0005-0000-0000-000056010000}"/>
    <cellStyle name="20% - Accent3 2 2 2 6 2 2" xfId="15029" xr:uid="{49F18FE3-AB46-4D54-9714-3C32B9739D26}"/>
    <cellStyle name="20% - Accent3 2 2 2 6 3" xfId="10811" xr:uid="{734FCCF6-4FDE-4400-8377-F23497593A23}"/>
    <cellStyle name="20% - Accent3 2 2 2 7" xfId="4524" xr:uid="{00000000-0005-0000-0000-000057010000}"/>
    <cellStyle name="20% - Accent3 2 2 2 7 2" xfId="12963" xr:uid="{4290D4EC-7398-4288-944A-33CAC3727970}"/>
    <cellStyle name="20% - Accent3 2 2 2 8" xfId="8745" xr:uid="{15F4CCEC-A795-4BCF-9840-03CB223E96E5}"/>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ECAB5B78-6C69-4D1C-A2ED-BD50DF4664A5}"/>
    <cellStyle name="20% - Accent3 2 2 3 2 3" xfId="11303" xr:uid="{B9BF4019-FCEF-46ED-B8D4-95ABA3B4A326}"/>
    <cellStyle name="20% - Accent3 2 2 3 3" xfId="4937" xr:uid="{00000000-0005-0000-0000-00005B010000}"/>
    <cellStyle name="20% - Accent3 2 2 3 3 2" xfId="13376" xr:uid="{9E11AAB8-712C-4659-A401-FDE0F4D907BB}"/>
    <cellStyle name="20% - Accent3 2 2 3 4" xfId="9158" xr:uid="{DBAF4FAF-4714-41B6-A881-3F21F92C1512}"/>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BA1CA9C1-768B-4FD2-ADD5-8DFCD1635CFC}"/>
    <cellStyle name="20% - Accent3 2 2 4 2 3" xfId="11716" xr:uid="{C44B068E-912B-40AB-AF95-D897A7FA7455}"/>
    <cellStyle name="20% - Accent3 2 2 4 3" xfId="5350" xr:uid="{00000000-0005-0000-0000-00005F010000}"/>
    <cellStyle name="20% - Accent3 2 2 4 3 2" xfId="13789" xr:uid="{DD7FE0DF-BF98-434C-B28F-DBCBA72B377F}"/>
    <cellStyle name="20% - Accent3 2 2 4 4" xfId="9571" xr:uid="{69B995DD-EFDE-44BE-8EDE-7875BF34B835}"/>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6BAB11DD-E00A-47B8-B11C-7138EF064398}"/>
    <cellStyle name="20% - Accent3 2 2 5 2 3" xfId="12129" xr:uid="{E0E4F955-123E-4E43-990B-67E5D0979831}"/>
    <cellStyle name="20% - Accent3 2 2 5 3" xfId="5763" xr:uid="{00000000-0005-0000-0000-000063010000}"/>
    <cellStyle name="20% - Accent3 2 2 5 3 2" xfId="14202" xr:uid="{B58C96B0-C792-4B81-9161-666914BB1776}"/>
    <cellStyle name="20% - Accent3 2 2 5 4" xfId="9984" xr:uid="{2B1F61EE-76F6-4A29-A510-30AF84BA5BB9}"/>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A2EADAC1-AEEA-444E-B37F-3A43011B65C9}"/>
    <cellStyle name="20% - Accent3 2 2 6 2 3" xfId="12542" xr:uid="{32E9031C-BA99-420B-9D9E-B241E3D289A7}"/>
    <cellStyle name="20% - Accent3 2 2 6 3" xfId="6176" xr:uid="{00000000-0005-0000-0000-000067010000}"/>
    <cellStyle name="20% - Accent3 2 2 6 3 2" xfId="14615" xr:uid="{B9441038-CE3A-40CF-8AE9-312FA568524C}"/>
    <cellStyle name="20% - Accent3 2 2 6 4" xfId="10397" xr:uid="{EDDBD056-22C4-493B-B0AD-6CC3E0F678A3}"/>
    <cellStyle name="20% - Accent3 2 2 7" xfId="2282" xr:uid="{00000000-0005-0000-0000-000068010000}"/>
    <cellStyle name="20% - Accent3 2 2 7 2" xfId="6589" xr:uid="{00000000-0005-0000-0000-000069010000}"/>
    <cellStyle name="20% - Accent3 2 2 7 2 2" xfId="15028" xr:uid="{E3CAAF94-0946-411D-8A47-35EA4D5145FB}"/>
    <cellStyle name="20% - Accent3 2 2 7 3" xfId="10810" xr:uid="{E33AB070-74E6-48D5-92C3-B062FD82356D}"/>
    <cellStyle name="20% - Accent3 2 2 8" xfId="4523" xr:uid="{00000000-0005-0000-0000-00006A010000}"/>
    <cellStyle name="20% - Accent3 2 2 8 2" xfId="12962" xr:uid="{AAE7F809-E2D2-4ACD-A435-E14009CB468E}"/>
    <cellStyle name="20% - Accent3 2 2 9" xfId="8744" xr:uid="{1530634B-C0E5-49A0-8722-304F1F070C65}"/>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E2F1549C-B1BF-48C7-9160-12B2F0AA2C11}"/>
    <cellStyle name="20% - Accent3 2 3 2 2 3" xfId="11305" xr:uid="{81E209D8-BF94-4E81-B0F4-CE8FA031319C}"/>
    <cellStyle name="20% - Accent3 2 3 2 3" xfId="4939" xr:uid="{00000000-0005-0000-0000-00006F010000}"/>
    <cellStyle name="20% - Accent3 2 3 2 3 2" xfId="13378" xr:uid="{2DA755CF-F4E0-4290-B321-53809B3DCD2D}"/>
    <cellStyle name="20% - Accent3 2 3 2 4" xfId="9160" xr:uid="{5CF55DAE-0B54-44E8-BE4F-97F9355C7D69}"/>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17674366-8824-4AA8-99A4-DCAC02532C1B}"/>
    <cellStyle name="20% - Accent3 2 3 3 2 3" xfId="11718" xr:uid="{83E263AE-5ED6-4162-A61E-12547338B545}"/>
    <cellStyle name="20% - Accent3 2 3 3 3" xfId="5352" xr:uid="{00000000-0005-0000-0000-000073010000}"/>
    <cellStyle name="20% - Accent3 2 3 3 3 2" xfId="13791" xr:uid="{9DC77CE0-C3EF-4D8F-8EF9-4708B1772751}"/>
    <cellStyle name="20% - Accent3 2 3 3 4" xfId="9573" xr:uid="{224875C4-EC48-4E05-B0A1-BFC82AA279E1}"/>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3C264982-8731-401F-AD64-816BF865C9D4}"/>
    <cellStyle name="20% - Accent3 2 3 4 2 3" xfId="12131" xr:uid="{4D98CFBA-634E-433F-A204-7039F067002D}"/>
    <cellStyle name="20% - Accent3 2 3 4 3" xfId="5765" xr:uid="{00000000-0005-0000-0000-000077010000}"/>
    <cellStyle name="20% - Accent3 2 3 4 3 2" xfId="14204" xr:uid="{8CF4CA89-5503-433B-B71C-24F8F50AF3CB}"/>
    <cellStyle name="20% - Accent3 2 3 4 4" xfId="9986" xr:uid="{1DAF28C8-31D1-4EFE-BBFE-EF4C2016DBBC}"/>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7F33D63C-5C72-4D1B-80A6-9C6644946180}"/>
    <cellStyle name="20% - Accent3 2 3 5 2 3" xfId="12544" xr:uid="{84F55379-E31D-4EC6-9F42-49A70FB5EEC8}"/>
    <cellStyle name="20% - Accent3 2 3 5 3" xfId="6178" xr:uid="{00000000-0005-0000-0000-00007B010000}"/>
    <cellStyle name="20% - Accent3 2 3 5 3 2" xfId="14617" xr:uid="{E7662D94-1372-46A0-A6B7-E14FFC7D6DD3}"/>
    <cellStyle name="20% - Accent3 2 3 5 4" xfId="10399" xr:uid="{CC652765-EDB6-43BA-BED7-0B73E5EEFA2B}"/>
    <cellStyle name="20% - Accent3 2 3 6" xfId="2284" xr:uid="{00000000-0005-0000-0000-00007C010000}"/>
    <cellStyle name="20% - Accent3 2 3 6 2" xfId="6591" xr:uid="{00000000-0005-0000-0000-00007D010000}"/>
    <cellStyle name="20% - Accent3 2 3 6 2 2" xfId="15030" xr:uid="{1C143BD0-799A-49B7-B8F9-728A4B214D2D}"/>
    <cellStyle name="20% - Accent3 2 3 6 3" xfId="10812" xr:uid="{5C570EB0-BCFF-4C35-BC21-2AFC2425C341}"/>
    <cellStyle name="20% - Accent3 2 3 7" xfId="4525" xr:uid="{00000000-0005-0000-0000-00007E010000}"/>
    <cellStyle name="20% - Accent3 2 3 7 2" xfId="12964" xr:uid="{45AD9D6D-CBC5-48E0-A859-01A467FF25A9}"/>
    <cellStyle name="20% - Accent3 2 3 8" xfId="8746" xr:uid="{02B05541-F773-40C7-B092-80F38C83E131}"/>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D7BBBBEC-894D-4248-9673-22D45B811F9C}"/>
    <cellStyle name="20% - Accent3 2 4 2 3" xfId="11302" xr:uid="{8B9D7720-3E09-4B20-BA41-053A9F79DFB0}"/>
    <cellStyle name="20% - Accent3 2 4 3" xfId="4936" xr:uid="{00000000-0005-0000-0000-000082010000}"/>
    <cellStyle name="20% - Accent3 2 4 3 2" xfId="13375" xr:uid="{E5D935C9-5681-47EE-95B7-96E508F29B3B}"/>
    <cellStyle name="20% - Accent3 2 4 4" xfId="9157" xr:uid="{82D5026A-A12B-49FB-B3F2-36B15CA00F35}"/>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DC008133-A3F8-43B5-90B0-645C86E328F7}"/>
    <cellStyle name="20% - Accent3 2 5 2 3" xfId="11715" xr:uid="{7FA26BE9-5E20-4935-AADD-B5EB1BCC0773}"/>
    <cellStyle name="20% - Accent3 2 5 3" xfId="5349" xr:uid="{00000000-0005-0000-0000-000086010000}"/>
    <cellStyle name="20% - Accent3 2 5 3 2" xfId="13788" xr:uid="{9A7C721B-08B4-4215-8C10-A51FBD7900E8}"/>
    <cellStyle name="20% - Accent3 2 5 4" xfId="9570" xr:uid="{042DB6C1-CEB3-471C-B636-E8249ED3E00D}"/>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7C788FBF-6CA4-4E73-8890-D420E2608351}"/>
    <cellStyle name="20% - Accent3 2 6 2 3" xfId="12128" xr:uid="{09F0DC76-AC00-495E-83D7-362EB8D55C30}"/>
    <cellStyle name="20% - Accent3 2 6 3" xfId="5762" xr:uid="{00000000-0005-0000-0000-00008A010000}"/>
    <cellStyle name="20% - Accent3 2 6 3 2" xfId="14201" xr:uid="{8D4EC3EA-6477-4209-83F7-85442ABD0510}"/>
    <cellStyle name="20% - Accent3 2 6 4" xfId="9983" xr:uid="{42B1D148-EB15-43CE-BDB0-AF00869A9A1E}"/>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2216AA0B-FE8D-42D0-86A2-E81430B224CA}"/>
    <cellStyle name="20% - Accent3 2 7 2 3" xfId="12541" xr:uid="{1006B6AB-902C-40B4-8ED8-44A00A4A5F82}"/>
    <cellStyle name="20% - Accent3 2 7 3" xfId="6175" xr:uid="{00000000-0005-0000-0000-00008E010000}"/>
    <cellStyle name="20% - Accent3 2 7 3 2" xfId="14614" xr:uid="{755A08F4-9660-43E7-82FF-0702C6EAF734}"/>
    <cellStyle name="20% - Accent3 2 7 4" xfId="10396" xr:uid="{28DC3F25-172E-4731-8BFA-50433611B86E}"/>
    <cellStyle name="20% - Accent3 2 8" xfId="2281" xr:uid="{00000000-0005-0000-0000-00008F010000}"/>
    <cellStyle name="20% - Accent3 2 8 2" xfId="6588" xr:uid="{00000000-0005-0000-0000-000090010000}"/>
    <cellStyle name="20% - Accent3 2 8 2 2" xfId="15027" xr:uid="{606B5961-4E1A-416A-B7E3-02AA7E1FDDDA}"/>
    <cellStyle name="20% - Accent3 2 8 3" xfId="10809" xr:uid="{7541BB2F-65B3-47F2-B409-664710D0D3BA}"/>
    <cellStyle name="20% - Accent3 2 9" xfId="4522" xr:uid="{00000000-0005-0000-0000-000091010000}"/>
    <cellStyle name="20% - Accent3 2 9 2" xfId="12961" xr:uid="{A1EC66D8-23B0-4B0F-9E67-D3695F95F5F6}"/>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1D57C622-F58F-4B58-9CB8-96D9E68A2C54}"/>
    <cellStyle name="20% - Accent3 3 2 2 2 3" xfId="11307" xr:uid="{EA073635-6D42-4D36-908E-22F9A03036EE}"/>
    <cellStyle name="20% - Accent3 3 2 2 3" xfId="4941" xr:uid="{00000000-0005-0000-0000-000097010000}"/>
    <cellStyle name="20% - Accent3 3 2 2 3 2" xfId="13380" xr:uid="{957F3AEA-44F8-48AB-B25B-E040DBC1862D}"/>
    <cellStyle name="20% - Accent3 3 2 2 4" xfId="9162" xr:uid="{34D838EB-DB92-4E91-BB15-FB8BA37F1606}"/>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4914E825-6926-4179-94AD-5E25D01CD038}"/>
    <cellStyle name="20% - Accent3 3 2 3 2 3" xfId="11720" xr:uid="{CD782FF1-3A04-4F7D-9726-5AF9A8C801D2}"/>
    <cellStyle name="20% - Accent3 3 2 3 3" xfId="5354" xr:uid="{00000000-0005-0000-0000-00009B010000}"/>
    <cellStyle name="20% - Accent3 3 2 3 3 2" xfId="13793" xr:uid="{95F58013-5C09-43B5-B7EC-F49CEF161359}"/>
    <cellStyle name="20% - Accent3 3 2 3 4" xfId="9575" xr:uid="{477BFB43-A184-4F3E-849F-AB785DE2BE0B}"/>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A698DBD8-3E44-4C2E-A75B-6A0EB7C5EEB5}"/>
    <cellStyle name="20% - Accent3 3 2 4 2 3" xfId="12133" xr:uid="{0AF165E2-4FA4-40AF-91D2-48AAAAB18D32}"/>
    <cellStyle name="20% - Accent3 3 2 4 3" xfId="5767" xr:uid="{00000000-0005-0000-0000-00009F010000}"/>
    <cellStyle name="20% - Accent3 3 2 4 3 2" xfId="14206" xr:uid="{A59F2309-F94B-459B-9B45-5CA76753267A}"/>
    <cellStyle name="20% - Accent3 3 2 4 4" xfId="9988" xr:uid="{56294B9E-9E93-4BB9-97ED-E6449211AFAD}"/>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5093C73F-685C-415B-8F5F-AC968ECA1B8F}"/>
    <cellStyle name="20% - Accent3 3 2 5 2 3" xfId="12546" xr:uid="{2B5ACC79-06FD-4D52-9496-2D307997C4BA}"/>
    <cellStyle name="20% - Accent3 3 2 5 3" xfId="6180" xr:uid="{00000000-0005-0000-0000-0000A3010000}"/>
    <cellStyle name="20% - Accent3 3 2 5 3 2" xfId="14619" xr:uid="{1E111DD7-3855-434E-A2E0-BDAEDF95D32E}"/>
    <cellStyle name="20% - Accent3 3 2 5 4" xfId="10401" xr:uid="{E92E8DAF-D720-4CE4-875D-B694D9A0F95F}"/>
    <cellStyle name="20% - Accent3 3 2 6" xfId="2286" xr:uid="{00000000-0005-0000-0000-0000A4010000}"/>
    <cellStyle name="20% - Accent3 3 2 6 2" xfId="6593" xr:uid="{00000000-0005-0000-0000-0000A5010000}"/>
    <cellStyle name="20% - Accent3 3 2 6 2 2" xfId="15032" xr:uid="{8A482F1C-4556-4724-AC04-A8A2337FC3F5}"/>
    <cellStyle name="20% - Accent3 3 2 6 3" xfId="10814" xr:uid="{DB85FE5A-6D64-4EA5-AD39-EFF2261318E1}"/>
    <cellStyle name="20% - Accent3 3 2 7" xfId="4527" xr:uid="{00000000-0005-0000-0000-0000A6010000}"/>
    <cellStyle name="20% - Accent3 3 2 7 2" xfId="12966" xr:uid="{1A611F15-EBA3-4790-8FD0-D536FD183B75}"/>
    <cellStyle name="20% - Accent3 3 2 8" xfId="8748" xr:uid="{56D5D31E-E674-4E95-A098-1518D96989BF}"/>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16CBF21A-E2F4-4BC4-A21A-57F5EF21D8BB}"/>
    <cellStyle name="20% - Accent3 3 3 2 3" xfId="11306" xr:uid="{253B8BDF-276B-403A-B15E-0A2318578AE1}"/>
    <cellStyle name="20% - Accent3 3 3 3" xfId="4940" xr:uid="{00000000-0005-0000-0000-0000AA010000}"/>
    <cellStyle name="20% - Accent3 3 3 3 2" xfId="13379" xr:uid="{FB9EEBB5-F4F9-45F9-A4D5-F75742C1813D}"/>
    <cellStyle name="20% - Accent3 3 3 4" xfId="9161" xr:uid="{55C4920B-24BF-4AD3-AD3C-C21190200984}"/>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A643694D-9D03-4E45-8AF7-64F7BFA634B0}"/>
    <cellStyle name="20% - Accent3 3 4 2 3" xfId="11719" xr:uid="{AEB1055E-2188-4F68-8ECE-2050BF310E7B}"/>
    <cellStyle name="20% - Accent3 3 4 3" xfId="5353" xr:uid="{00000000-0005-0000-0000-0000AE010000}"/>
    <cellStyle name="20% - Accent3 3 4 3 2" xfId="13792" xr:uid="{22D823D6-A4AA-4440-AB80-45509B5A5703}"/>
    <cellStyle name="20% - Accent3 3 4 4" xfId="9574" xr:uid="{C30674E4-E637-4A54-9127-A42987BA2376}"/>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E49FD814-FA9A-4274-A7D9-AA5399EF21E8}"/>
    <cellStyle name="20% - Accent3 3 5 2 3" xfId="12132" xr:uid="{A2453153-3C49-42E1-B2D7-ECA356E4F133}"/>
    <cellStyle name="20% - Accent3 3 5 3" xfId="5766" xr:uid="{00000000-0005-0000-0000-0000B2010000}"/>
    <cellStyle name="20% - Accent3 3 5 3 2" xfId="14205" xr:uid="{D41ACCDC-D292-4D02-A58A-11C568EF2417}"/>
    <cellStyle name="20% - Accent3 3 5 4" xfId="9987" xr:uid="{CAF2268A-60D4-4AE5-87F4-FF628267F0F9}"/>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E8374A0F-81DA-48DB-A668-4BCBEC3123A5}"/>
    <cellStyle name="20% - Accent3 3 6 2 3" xfId="12545" xr:uid="{74353879-F03E-479E-BC6A-04568B04B381}"/>
    <cellStyle name="20% - Accent3 3 6 3" xfId="6179" xr:uid="{00000000-0005-0000-0000-0000B6010000}"/>
    <cellStyle name="20% - Accent3 3 6 3 2" xfId="14618" xr:uid="{934BD640-28C6-43BC-B86D-1F0DF216203F}"/>
    <cellStyle name="20% - Accent3 3 6 4" xfId="10400" xr:uid="{D902F32B-9549-4972-9E07-CB4C8DCE0789}"/>
    <cellStyle name="20% - Accent3 3 7" xfId="2285" xr:uid="{00000000-0005-0000-0000-0000B7010000}"/>
    <cellStyle name="20% - Accent3 3 7 2" xfId="6592" xr:uid="{00000000-0005-0000-0000-0000B8010000}"/>
    <cellStyle name="20% - Accent3 3 7 2 2" xfId="15031" xr:uid="{6AA065F2-E8AB-4874-B340-EE17975CDF8C}"/>
    <cellStyle name="20% - Accent3 3 7 3" xfId="10813" xr:uid="{507191E3-3C6D-4510-8CE4-AF3B9B34BD80}"/>
    <cellStyle name="20% - Accent3 3 8" xfId="4526" xr:uid="{00000000-0005-0000-0000-0000B9010000}"/>
    <cellStyle name="20% - Accent3 3 8 2" xfId="12965" xr:uid="{87354DFA-4F5F-404A-8448-0D9BB4B85FAE}"/>
    <cellStyle name="20% - Accent3 3 9" xfId="8747" xr:uid="{77EEAF94-9D20-4648-B087-D58EC4F9766C}"/>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421B4BF8-2A2D-427A-BE42-D21C31CA6E95}"/>
    <cellStyle name="20% - Accent3 4 2 2 3" xfId="11308" xr:uid="{AA9B3D38-10E2-4072-8545-8953A13C4250}"/>
    <cellStyle name="20% - Accent3 4 2 3" xfId="4942" xr:uid="{00000000-0005-0000-0000-0000BE010000}"/>
    <cellStyle name="20% - Accent3 4 2 3 2" xfId="13381" xr:uid="{9232670A-07EB-4121-8989-4CAA4B3163A7}"/>
    <cellStyle name="20% - Accent3 4 2 4" xfId="9163" xr:uid="{AFCD3A98-E616-4AD2-AA4E-AF89FE7618BD}"/>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C5926380-639C-438C-872D-32697BD7E88F}"/>
    <cellStyle name="20% - Accent3 4 3 2 3" xfId="11721" xr:uid="{40D345B8-9A78-4A4A-8B6C-3052266DD8B7}"/>
    <cellStyle name="20% - Accent3 4 3 3" xfId="5355" xr:uid="{00000000-0005-0000-0000-0000C2010000}"/>
    <cellStyle name="20% - Accent3 4 3 3 2" xfId="13794" xr:uid="{398EFFA3-AC80-4CED-A6AF-94EBED87CB21}"/>
    <cellStyle name="20% - Accent3 4 3 4" xfId="9576" xr:uid="{539B09E8-E855-460F-9CA4-7222A91D0322}"/>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F2B26CDB-A560-4C57-9EE7-6D6B43ED1C7D}"/>
    <cellStyle name="20% - Accent3 4 4 2 3" xfId="12134" xr:uid="{80B6EA68-E565-4F4C-B596-17F34FF7DFEA}"/>
    <cellStyle name="20% - Accent3 4 4 3" xfId="5768" xr:uid="{00000000-0005-0000-0000-0000C6010000}"/>
    <cellStyle name="20% - Accent3 4 4 3 2" xfId="14207" xr:uid="{2871E50F-B545-4BF6-861E-E3B945F40FA5}"/>
    <cellStyle name="20% - Accent3 4 4 4" xfId="9989" xr:uid="{AD0DFCF2-F776-4109-B347-3DE048D28101}"/>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5D62051D-B61C-423E-AD33-4D46C6791C9C}"/>
    <cellStyle name="20% - Accent3 4 5 2 3" xfId="12547" xr:uid="{05C67659-FEFB-4342-9C37-EE76E3EE49B7}"/>
    <cellStyle name="20% - Accent3 4 5 3" xfId="6181" xr:uid="{00000000-0005-0000-0000-0000CA010000}"/>
    <cellStyle name="20% - Accent3 4 5 3 2" xfId="14620" xr:uid="{50BD2385-3055-43DA-BB8A-99A62FFAF948}"/>
    <cellStyle name="20% - Accent3 4 5 4" xfId="10402" xr:uid="{DD2FDBA5-ECEB-49B7-82F0-A7579C221F7E}"/>
    <cellStyle name="20% - Accent3 4 6" xfId="2287" xr:uid="{00000000-0005-0000-0000-0000CB010000}"/>
    <cellStyle name="20% - Accent3 4 6 2" xfId="6594" xr:uid="{00000000-0005-0000-0000-0000CC010000}"/>
    <cellStyle name="20% - Accent3 4 6 2 2" xfId="15033" xr:uid="{DEF39DFC-5EB3-4768-932B-D84CACDA9A19}"/>
    <cellStyle name="20% - Accent3 4 6 3" xfId="10815" xr:uid="{559F9808-7A61-4567-8D14-529E8858D413}"/>
    <cellStyle name="20% - Accent3 4 7" xfId="4528" xr:uid="{00000000-0005-0000-0000-0000CD010000}"/>
    <cellStyle name="20% - Accent3 4 7 2" xfId="12967" xr:uid="{3D48489C-A670-4059-8B30-B7136D203968}"/>
    <cellStyle name="20% - Accent3 4 8" xfId="8749" xr:uid="{B6D9C498-4FAB-4E84-91BB-B687C3086662}"/>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B52FEF99-9CD0-418D-8E2E-45C9DC5C7113}"/>
    <cellStyle name="20% - Accent3 5 2 3" xfId="11301" xr:uid="{6EC89D73-13CE-4E63-B2BB-34D672AD2A17}"/>
    <cellStyle name="20% - Accent3 5 3" xfId="4935" xr:uid="{00000000-0005-0000-0000-0000D1010000}"/>
    <cellStyle name="20% - Accent3 5 3 2" xfId="13374" xr:uid="{5B47C25B-1227-4117-B52C-4BC237A66B84}"/>
    <cellStyle name="20% - Accent3 5 4" xfId="9156" xr:uid="{73730FE5-4212-4188-ADB4-41D3FB48DFB0}"/>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6F653207-B0EB-46F1-8B9E-1ED428F6E4C7}"/>
    <cellStyle name="20% - Accent3 6 2 3" xfId="11714" xr:uid="{23266AE7-D49C-4F61-B683-2CFEFDAD0F49}"/>
    <cellStyle name="20% - Accent3 6 3" xfId="5348" xr:uid="{00000000-0005-0000-0000-0000D5010000}"/>
    <cellStyle name="20% - Accent3 6 3 2" xfId="13787" xr:uid="{05224B07-F39C-4820-84B6-5773C8D09EA9}"/>
    <cellStyle name="20% - Accent3 6 4" xfId="9569" xr:uid="{7DAE7649-F2B7-4219-BAF8-6DFBFED3BF92}"/>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9CDA579C-6FF3-498A-833C-5518B3CFB4F4}"/>
    <cellStyle name="20% - Accent3 7 2 3" xfId="12127" xr:uid="{27953A0C-26EF-447B-A82D-906936D40863}"/>
    <cellStyle name="20% - Accent3 7 3" xfId="5761" xr:uid="{00000000-0005-0000-0000-0000D9010000}"/>
    <cellStyle name="20% - Accent3 7 3 2" xfId="14200" xr:uid="{21F3E5BD-4DC3-402E-BC96-4BCD4C75FD47}"/>
    <cellStyle name="20% - Accent3 7 4" xfId="9982" xr:uid="{52D4BBDF-7C9D-47B6-9472-9BCFD15120B8}"/>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53A2A790-E37C-4920-B706-E3E1D785C2E7}"/>
    <cellStyle name="20% - Accent3 8 2 3" xfId="12540" xr:uid="{2513723D-1B32-4CD6-9BB1-9AA292D7E45F}"/>
    <cellStyle name="20% - Accent3 8 3" xfId="6174" xr:uid="{00000000-0005-0000-0000-0000DD010000}"/>
    <cellStyle name="20% - Accent3 8 3 2" xfId="14613" xr:uid="{CDE7ED3C-AA19-4DC8-AD15-C2994E31BF79}"/>
    <cellStyle name="20% - Accent3 8 4" xfId="10395" xr:uid="{51F6EA3F-B3CA-4B57-8021-9F0C6EDD2FAB}"/>
    <cellStyle name="20% - Accent3 9" xfId="2280" xr:uid="{00000000-0005-0000-0000-0000DE010000}"/>
    <cellStyle name="20% - Accent3 9 2" xfId="6587" xr:uid="{00000000-0005-0000-0000-0000DF010000}"/>
    <cellStyle name="20% - Accent3 9 2 2" xfId="15026" xr:uid="{DFC3927C-B691-4611-B2E3-D9DBB2DBA7D3}"/>
    <cellStyle name="20% - Accent3 9 3" xfId="10808" xr:uid="{4F8423E5-DF20-4CC6-B2C7-02541B7D35B4}"/>
    <cellStyle name="20% - Accent4" xfId="25" builtinId="42" customBuiltin="1"/>
    <cellStyle name="20% - Accent4 10" xfId="4529" xr:uid="{00000000-0005-0000-0000-0000E1010000}"/>
    <cellStyle name="20% - Accent4 10 2" xfId="12968" xr:uid="{2DCB41D9-A612-4CA9-97B8-25A58A291385}"/>
    <cellStyle name="20% - Accent4 11" xfId="8750" xr:uid="{588EBCF3-F8B6-4019-8122-21105CCB7B95}"/>
    <cellStyle name="20% - Accent4 2" xfId="26" xr:uid="{00000000-0005-0000-0000-0000E2010000}"/>
    <cellStyle name="20% - Accent4 2 10" xfId="8751" xr:uid="{AC881ED4-F45F-49F1-BF81-470C2ED03A98}"/>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562DBC16-7548-4AE9-BB5E-8488DBB9269D}"/>
    <cellStyle name="20% - Accent4 2 2 2 2 2 3" xfId="11312" xr:uid="{751A8207-A06D-4B41-A2B9-55D7D31B5F3F}"/>
    <cellStyle name="20% - Accent4 2 2 2 2 3" xfId="4946" xr:uid="{00000000-0005-0000-0000-0000E8010000}"/>
    <cellStyle name="20% - Accent4 2 2 2 2 3 2" xfId="13385" xr:uid="{A9068E25-431F-444A-949E-E87384FB2E8F}"/>
    <cellStyle name="20% - Accent4 2 2 2 2 4" xfId="9167" xr:uid="{86A5E633-3325-4D1C-A1A7-A313F431E9A1}"/>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11A45226-1BDB-4336-8779-486C1DFD4E0A}"/>
    <cellStyle name="20% - Accent4 2 2 2 3 2 3" xfId="11725" xr:uid="{A9730C28-4E68-436C-9E1F-A77A96293FA4}"/>
    <cellStyle name="20% - Accent4 2 2 2 3 3" xfId="5359" xr:uid="{00000000-0005-0000-0000-0000EC010000}"/>
    <cellStyle name="20% - Accent4 2 2 2 3 3 2" xfId="13798" xr:uid="{E9254E69-7230-4F02-BF00-D8CC124D1EF6}"/>
    <cellStyle name="20% - Accent4 2 2 2 3 4" xfId="9580" xr:uid="{306B2CD5-6E9B-40F2-B01C-85EB43E30F87}"/>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37E65E20-CD84-4A6D-B72D-DF88101BCEE2}"/>
    <cellStyle name="20% - Accent4 2 2 2 4 2 3" xfId="12138" xr:uid="{B2EC0D8D-9E7A-49EB-A9DF-C126DE000D88}"/>
    <cellStyle name="20% - Accent4 2 2 2 4 3" xfId="5772" xr:uid="{00000000-0005-0000-0000-0000F0010000}"/>
    <cellStyle name="20% - Accent4 2 2 2 4 3 2" xfId="14211" xr:uid="{4F9442DE-5870-414C-94B3-9F5269E13943}"/>
    <cellStyle name="20% - Accent4 2 2 2 4 4" xfId="9993" xr:uid="{789CE371-D5F6-4CA7-A358-C9143AA7758B}"/>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660DFE95-061F-45BD-BB76-152EF07781E6}"/>
    <cellStyle name="20% - Accent4 2 2 2 5 2 3" xfId="12551" xr:uid="{A1A6E9D9-72C6-4F5A-ACF8-821128F75BEB}"/>
    <cellStyle name="20% - Accent4 2 2 2 5 3" xfId="6185" xr:uid="{00000000-0005-0000-0000-0000F4010000}"/>
    <cellStyle name="20% - Accent4 2 2 2 5 3 2" xfId="14624" xr:uid="{914C0119-EE20-4F03-8736-325E7E31DBB3}"/>
    <cellStyle name="20% - Accent4 2 2 2 5 4" xfId="10406" xr:uid="{341D9E16-ACA9-47E9-B3B5-08148E502318}"/>
    <cellStyle name="20% - Accent4 2 2 2 6" xfId="2291" xr:uid="{00000000-0005-0000-0000-0000F5010000}"/>
    <cellStyle name="20% - Accent4 2 2 2 6 2" xfId="6598" xr:uid="{00000000-0005-0000-0000-0000F6010000}"/>
    <cellStyle name="20% - Accent4 2 2 2 6 2 2" xfId="15037" xr:uid="{3E032010-7AA7-49FB-BFE7-45A392EF3F80}"/>
    <cellStyle name="20% - Accent4 2 2 2 6 3" xfId="10819" xr:uid="{0676F882-1F6D-48F3-BAF2-B9DD48E83E55}"/>
    <cellStyle name="20% - Accent4 2 2 2 7" xfId="4532" xr:uid="{00000000-0005-0000-0000-0000F7010000}"/>
    <cellStyle name="20% - Accent4 2 2 2 7 2" xfId="12971" xr:uid="{A40C97D9-2A10-4C8E-B187-AC0D8AD1D07C}"/>
    <cellStyle name="20% - Accent4 2 2 2 8" xfId="8753" xr:uid="{950871C4-5EEC-49AD-8D99-70A47A9B4256}"/>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83BE70D7-814D-41E5-A6D0-03A785F2A97A}"/>
    <cellStyle name="20% - Accent4 2 2 3 2 3" xfId="11311" xr:uid="{DD5B5EBA-078B-4134-96E3-1A1D603A18A8}"/>
    <cellStyle name="20% - Accent4 2 2 3 3" xfId="4945" xr:uid="{00000000-0005-0000-0000-0000FB010000}"/>
    <cellStyle name="20% - Accent4 2 2 3 3 2" xfId="13384" xr:uid="{B10F9B3A-1CE9-466E-AC0C-C4D3D8E5B0BA}"/>
    <cellStyle name="20% - Accent4 2 2 3 4" xfId="9166" xr:uid="{AF58456E-45FB-46CC-9A23-81515CE63709}"/>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E2F7EE51-4A42-47F3-90A8-822FF59C006F}"/>
    <cellStyle name="20% - Accent4 2 2 4 2 3" xfId="11724" xr:uid="{B87EDFD5-AA6F-45A5-A005-4FCE534A8455}"/>
    <cellStyle name="20% - Accent4 2 2 4 3" xfId="5358" xr:uid="{00000000-0005-0000-0000-0000FF010000}"/>
    <cellStyle name="20% - Accent4 2 2 4 3 2" xfId="13797" xr:uid="{A473154B-6C60-403D-85AC-3E2EFB7F30C9}"/>
    <cellStyle name="20% - Accent4 2 2 4 4" xfId="9579" xr:uid="{A18B0018-DC3D-47B8-9870-C5061D7373E8}"/>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18919228-A2C6-4531-A1BE-7365781D8650}"/>
    <cellStyle name="20% - Accent4 2 2 5 2 3" xfId="12137" xr:uid="{73B73069-1DF6-40EA-911D-F05432A6D4C7}"/>
    <cellStyle name="20% - Accent4 2 2 5 3" xfId="5771" xr:uid="{00000000-0005-0000-0000-000003020000}"/>
    <cellStyle name="20% - Accent4 2 2 5 3 2" xfId="14210" xr:uid="{3BDE09A5-CF88-4061-AF2F-3197B509FDA4}"/>
    <cellStyle name="20% - Accent4 2 2 5 4" xfId="9992" xr:uid="{0B1C4AA5-A11A-4074-8F87-BFF3197371C3}"/>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FE6F91AA-F5D4-4635-96EC-D4E037AB50BB}"/>
    <cellStyle name="20% - Accent4 2 2 6 2 3" xfId="12550" xr:uid="{551114A3-D6EB-4622-BD6D-8B6DB83C7248}"/>
    <cellStyle name="20% - Accent4 2 2 6 3" xfId="6184" xr:uid="{00000000-0005-0000-0000-000007020000}"/>
    <cellStyle name="20% - Accent4 2 2 6 3 2" xfId="14623" xr:uid="{59B58629-8CCD-4CFA-BC70-7E78F0A646F5}"/>
    <cellStyle name="20% - Accent4 2 2 6 4" xfId="10405" xr:uid="{CEE7E667-4E43-46B7-9EBA-8C57630AC751}"/>
    <cellStyle name="20% - Accent4 2 2 7" xfId="2290" xr:uid="{00000000-0005-0000-0000-000008020000}"/>
    <cellStyle name="20% - Accent4 2 2 7 2" xfId="6597" xr:uid="{00000000-0005-0000-0000-000009020000}"/>
    <cellStyle name="20% - Accent4 2 2 7 2 2" xfId="15036" xr:uid="{2F931DF9-0E83-476F-B647-BDC7F32920FD}"/>
    <cellStyle name="20% - Accent4 2 2 7 3" xfId="10818" xr:uid="{C414187B-5BE8-450B-96AB-AA887F043B3E}"/>
    <cellStyle name="20% - Accent4 2 2 8" xfId="4531" xr:uid="{00000000-0005-0000-0000-00000A020000}"/>
    <cellStyle name="20% - Accent4 2 2 8 2" xfId="12970" xr:uid="{DE15CB4A-FE75-49E0-B5FD-FAE5D59FB202}"/>
    <cellStyle name="20% - Accent4 2 2 9" xfId="8752" xr:uid="{6D058E66-CD4F-4213-8DFC-B9E396CF2DD9}"/>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1214859A-D7E1-403D-84F8-D30843D9F9E1}"/>
    <cellStyle name="20% - Accent4 2 3 2 2 3" xfId="11313" xr:uid="{64ED5CD3-362E-4F39-AB09-6CBEE065E97D}"/>
    <cellStyle name="20% - Accent4 2 3 2 3" xfId="4947" xr:uid="{00000000-0005-0000-0000-00000F020000}"/>
    <cellStyle name="20% - Accent4 2 3 2 3 2" xfId="13386" xr:uid="{20A39E86-C401-4DE1-A010-31D0B1C1615B}"/>
    <cellStyle name="20% - Accent4 2 3 2 4" xfId="9168" xr:uid="{160CA32E-0A99-4635-9EFE-A351BA84C1B9}"/>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C1AD30AB-A817-4690-BF03-C5ADE40BA16D}"/>
    <cellStyle name="20% - Accent4 2 3 3 2 3" xfId="11726" xr:uid="{99B1CD2E-C704-4946-BF1C-3A4149309517}"/>
    <cellStyle name="20% - Accent4 2 3 3 3" xfId="5360" xr:uid="{00000000-0005-0000-0000-000013020000}"/>
    <cellStyle name="20% - Accent4 2 3 3 3 2" xfId="13799" xr:uid="{481E20E5-54CE-49A4-8A56-FED909DFDFEC}"/>
    <cellStyle name="20% - Accent4 2 3 3 4" xfId="9581" xr:uid="{49BAA552-1C75-4493-BFAF-6E56BAC05DF1}"/>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70696D91-B882-4EBF-957F-38CC3400BCD8}"/>
    <cellStyle name="20% - Accent4 2 3 4 2 3" xfId="12139" xr:uid="{40E1EFFD-1479-4E97-B952-E0994F88EB81}"/>
    <cellStyle name="20% - Accent4 2 3 4 3" xfId="5773" xr:uid="{00000000-0005-0000-0000-000017020000}"/>
    <cellStyle name="20% - Accent4 2 3 4 3 2" xfId="14212" xr:uid="{82F9C4CD-FD5A-415E-87A4-398D908034FC}"/>
    <cellStyle name="20% - Accent4 2 3 4 4" xfId="9994" xr:uid="{1CA72853-600D-4654-8CC8-D449B10DA865}"/>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600E2289-43F1-414A-AE2D-0930FA9A0CB4}"/>
    <cellStyle name="20% - Accent4 2 3 5 2 3" xfId="12552" xr:uid="{5767205F-E1B6-47A0-A972-01BEE0D3D4E5}"/>
    <cellStyle name="20% - Accent4 2 3 5 3" xfId="6186" xr:uid="{00000000-0005-0000-0000-00001B020000}"/>
    <cellStyle name="20% - Accent4 2 3 5 3 2" xfId="14625" xr:uid="{2EB8274B-AFBD-4714-86FB-3D56C80CC892}"/>
    <cellStyle name="20% - Accent4 2 3 5 4" xfId="10407" xr:uid="{206909EC-C772-4A54-BCE0-B8CE649734D5}"/>
    <cellStyle name="20% - Accent4 2 3 6" xfId="2292" xr:uid="{00000000-0005-0000-0000-00001C020000}"/>
    <cellStyle name="20% - Accent4 2 3 6 2" xfId="6599" xr:uid="{00000000-0005-0000-0000-00001D020000}"/>
    <cellStyle name="20% - Accent4 2 3 6 2 2" xfId="15038" xr:uid="{4A216AA5-4DF0-4679-A2B9-68A4D44DCF48}"/>
    <cellStyle name="20% - Accent4 2 3 6 3" xfId="10820" xr:uid="{94BCCFC4-8A71-4FFA-ACE2-10AE7527C479}"/>
    <cellStyle name="20% - Accent4 2 3 7" xfId="4533" xr:uid="{00000000-0005-0000-0000-00001E020000}"/>
    <cellStyle name="20% - Accent4 2 3 7 2" xfId="12972" xr:uid="{13FBD4F0-5077-477B-97D9-7252A2471594}"/>
    <cellStyle name="20% - Accent4 2 3 8" xfId="8754" xr:uid="{1FCC700F-A0B6-44FA-8061-52BC7F776464}"/>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9BA9D8B4-584C-4F4F-983C-889607D43F73}"/>
    <cellStyle name="20% - Accent4 2 4 2 3" xfId="11310" xr:uid="{946795DA-BC74-4396-B232-C0B019C7D288}"/>
    <cellStyle name="20% - Accent4 2 4 3" xfId="4944" xr:uid="{00000000-0005-0000-0000-000022020000}"/>
    <cellStyle name="20% - Accent4 2 4 3 2" xfId="13383" xr:uid="{495718B9-59C0-4A3E-8297-EA066641C4F2}"/>
    <cellStyle name="20% - Accent4 2 4 4" xfId="9165" xr:uid="{FCD5519C-8A49-4210-9DA4-E4EC36FCDAB4}"/>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8A5EF187-C84E-4E4B-8B35-B7E489A08F64}"/>
    <cellStyle name="20% - Accent4 2 5 2 3" xfId="11723" xr:uid="{F0C4604F-DF79-4D42-BEBC-13502E518EA5}"/>
    <cellStyle name="20% - Accent4 2 5 3" xfId="5357" xr:uid="{00000000-0005-0000-0000-000026020000}"/>
    <cellStyle name="20% - Accent4 2 5 3 2" xfId="13796" xr:uid="{5BEAE5FB-7953-4336-BB62-D93D716A01E3}"/>
    <cellStyle name="20% - Accent4 2 5 4" xfId="9578" xr:uid="{5C7628EF-6CC1-4D10-8308-F794EA95CA99}"/>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B70CF4AB-EBE9-47D9-8B42-F56997C25A23}"/>
    <cellStyle name="20% - Accent4 2 6 2 3" xfId="12136" xr:uid="{43254DEB-C68A-4D86-9EB4-7009DFBFFD94}"/>
    <cellStyle name="20% - Accent4 2 6 3" xfId="5770" xr:uid="{00000000-0005-0000-0000-00002A020000}"/>
    <cellStyle name="20% - Accent4 2 6 3 2" xfId="14209" xr:uid="{44937793-B58D-4647-90D4-496BF11DAECB}"/>
    <cellStyle name="20% - Accent4 2 6 4" xfId="9991" xr:uid="{60AA6FCE-907A-43B2-B966-0ACF4085A396}"/>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157043C9-6021-40D2-8118-1CB431F3F97D}"/>
    <cellStyle name="20% - Accent4 2 7 2 3" xfId="12549" xr:uid="{E4A175B7-5410-426E-9484-1EBE8FF75749}"/>
    <cellStyle name="20% - Accent4 2 7 3" xfId="6183" xr:uid="{00000000-0005-0000-0000-00002E020000}"/>
    <cellStyle name="20% - Accent4 2 7 3 2" xfId="14622" xr:uid="{A3580A3C-BC0B-4923-875B-D2F0576DCB7A}"/>
    <cellStyle name="20% - Accent4 2 7 4" xfId="10404" xr:uid="{7E32796B-B63B-4CD5-9947-35E51882473C}"/>
    <cellStyle name="20% - Accent4 2 8" xfId="2289" xr:uid="{00000000-0005-0000-0000-00002F020000}"/>
    <cellStyle name="20% - Accent4 2 8 2" xfId="6596" xr:uid="{00000000-0005-0000-0000-000030020000}"/>
    <cellStyle name="20% - Accent4 2 8 2 2" xfId="15035" xr:uid="{71F97012-5509-4B61-AAF7-E424EDDC9CD6}"/>
    <cellStyle name="20% - Accent4 2 8 3" xfId="10817" xr:uid="{D83A350D-25C3-4598-9C99-3DCFD8E93178}"/>
    <cellStyle name="20% - Accent4 2 9" xfId="4530" xr:uid="{00000000-0005-0000-0000-000031020000}"/>
    <cellStyle name="20% - Accent4 2 9 2" xfId="12969" xr:uid="{A636A7D5-AC1C-460F-89B5-C3C7174D905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398EB072-05AE-44AF-B40B-F5AB9E471660}"/>
    <cellStyle name="20% - Accent4 3 2 2 2 3" xfId="11315" xr:uid="{FC8F0A89-C9CC-4CD9-9350-E409AED597B3}"/>
    <cellStyle name="20% - Accent4 3 2 2 3" xfId="4949" xr:uid="{00000000-0005-0000-0000-000037020000}"/>
    <cellStyle name="20% - Accent4 3 2 2 3 2" xfId="13388" xr:uid="{D9A53743-D008-4D2C-91F2-4D2EF54B9375}"/>
    <cellStyle name="20% - Accent4 3 2 2 4" xfId="9170" xr:uid="{D3975858-E1B8-4293-A254-AF393DC186A3}"/>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E1A668C0-EAE4-4333-954A-8394E98B021F}"/>
    <cellStyle name="20% - Accent4 3 2 3 2 3" xfId="11728" xr:uid="{51148231-E270-4B87-880D-3FF24C1A8CF8}"/>
    <cellStyle name="20% - Accent4 3 2 3 3" xfId="5362" xr:uid="{00000000-0005-0000-0000-00003B020000}"/>
    <cellStyle name="20% - Accent4 3 2 3 3 2" xfId="13801" xr:uid="{1D82006B-208A-4BC5-BD76-AF1FF9E3F87D}"/>
    <cellStyle name="20% - Accent4 3 2 3 4" xfId="9583" xr:uid="{3371191B-8EC8-4331-AE1A-CF425CC9633A}"/>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CD0D9E05-227B-4E83-A0DA-FE6CBA72F834}"/>
    <cellStyle name="20% - Accent4 3 2 4 2 3" xfId="12141" xr:uid="{5F00C87E-5691-4DC7-B9FB-C91B44C40173}"/>
    <cellStyle name="20% - Accent4 3 2 4 3" xfId="5775" xr:uid="{00000000-0005-0000-0000-00003F020000}"/>
    <cellStyle name="20% - Accent4 3 2 4 3 2" xfId="14214" xr:uid="{DE1F07EB-9244-49A7-B659-7C6284DC90E5}"/>
    <cellStyle name="20% - Accent4 3 2 4 4" xfId="9996" xr:uid="{29F901CC-7294-47ED-B357-792DE98FA5A1}"/>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0D10ECAC-C679-4C10-920D-00143611F975}"/>
    <cellStyle name="20% - Accent4 3 2 5 2 3" xfId="12554" xr:uid="{F937C2D8-3CB0-4B5D-838A-6E9FBF93A705}"/>
    <cellStyle name="20% - Accent4 3 2 5 3" xfId="6188" xr:uid="{00000000-0005-0000-0000-000043020000}"/>
    <cellStyle name="20% - Accent4 3 2 5 3 2" xfId="14627" xr:uid="{CE37ACB5-5715-4AC6-9A9A-942229E6199F}"/>
    <cellStyle name="20% - Accent4 3 2 5 4" xfId="10409" xr:uid="{599C01B0-A26F-4B69-B19D-C7254ABBD35B}"/>
    <cellStyle name="20% - Accent4 3 2 6" xfId="2294" xr:uid="{00000000-0005-0000-0000-000044020000}"/>
    <cellStyle name="20% - Accent4 3 2 6 2" xfId="6601" xr:uid="{00000000-0005-0000-0000-000045020000}"/>
    <cellStyle name="20% - Accent4 3 2 6 2 2" xfId="15040" xr:uid="{03A731E2-09F6-4E32-BB1B-2C006E8BB861}"/>
    <cellStyle name="20% - Accent4 3 2 6 3" xfId="10822" xr:uid="{327688B4-538A-45A2-8E32-EB34AB1DEF7E}"/>
    <cellStyle name="20% - Accent4 3 2 7" xfId="4535" xr:uid="{00000000-0005-0000-0000-000046020000}"/>
    <cellStyle name="20% - Accent4 3 2 7 2" xfId="12974" xr:uid="{24E96767-703C-4639-8528-F6BF365B5529}"/>
    <cellStyle name="20% - Accent4 3 2 8" xfId="8756" xr:uid="{AF834617-9793-456B-A07A-D09BB0CB780A}"/>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152D0B93-5736-4639-BC99-546E947A756E}"/>
    <cellStyle name="20% - Accent4 3 3 2 3" xfId="11314" xr:uid="{E5772D00-ED6D-42DB-AA84-E508780E8674}"/>
    <cellStyle name="20% - Accent4 3 3 3" xfId="4948" xr:uid="{00000000-0005-0000-0000-00004A020000}"/>
    <cellStyle name="20% - Accent4 3 3 3 2" xfId="13387" xr:uid="{1EE0C05F-1BEE-40D8-919E-5510F0431916}"/>
    <cellStyle name="20% - Accent4 3 3 4" xfId="9169" xr:uid="{6F6C6E7C-62DF-4D0C-8AB7-270AE1360841}"/>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D06DBF5B-D815-4AA6-9C5E-4816430EBC38}"/>
    <cellStyle name="20% - Accent4 3 4 2 3" xfId="11727" xr:uid="{C1D6AAD9-BC33-4C4B-9DE0-4F8903924AA4}"/>
    <cellStyle name="20% - Accent4 3 4 3" xfId="5361" xr:uid="{00000000-0005-0000-0000-00004E020000}"/>
    <cellStyle name="20% - Accent4 3 4 3 2" xfId="13800" xr:uid="{A049A5BD-7BE7-43D1-8E7E-B5CA3D737E13}"/>
    <cellStyle name="20% - Accent4 3 4 4" xfId="9582" xr:uid="{3D0D6285-7661-47F6-A9AD-C7A77189F975}"/>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FB438B63-9B57-41F2-875F-2944396A4174}"/>
    <cellStyle name="20% - Accent4 3 5 2 3" xfId="12140" xr:uid="{1FD8BE15-4660-4D15-AE84-0914C889F7FA}"/>
    <cellStyle name="20% - Accent4 3 5 3" xfId="5774" xr:uid="{00000000-0005-0000-0000-000052020000}"/>
    <cellStyle name="20% - Accent4 3 5 3 2" xfId="14213" xr:uid="{F2F4E8D3-610E-4F17-AF30-00CF813086FC}"/>
    <cellStyle name="20% - Accent4 3 5 4" xfId="9995" xr:uid="{3208B89D-8407-43EB-BBE2-A261D3B8740F}"/>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A8D86A45-F7BD-4E9C-8832-790EF0BAFAE5}"/>
    <cellStyle name="20% - Accent4 3 6 2 3" xfId="12553" xr:uid="{58899CAA-D56C-455C-932A-DCC4713748BE}"/>
    <cellStyle name="20% - Accent4 3 6 3" xfId="6187" xr:uid="{00000000-0005-0000-0000-000056020000}"/>
    <cellStyle name="20% - Accent4 3 6 3 2" xfId="14626" xr:uid="{48B001E8-3CC6-475D-9506-A76779802C4E}"/>
    <cellStyle name="20% - Accent4 3 6 4" xfId="10408" xr:uid="{8C54A93A-BAF5-411F-95BB-781E3E7EDCB2}"/>
    <cellStyle name="20% - Accent4 3 7" xfId="2293" xr:uid="{00000000-0005-0000-0000-000057020000}"/>
    <cellStyle name="20% - Accent4 3 7 2" xfId="6600" xr:uid="{00000000-0005-0000-0000-000058020000}"/>
    <cellStyle name="20% - Accent4 3 7 2 2" xfId="15039" xr:uid="{5B90FF12-B68F-4A29-B5A7-7B3018821CF8}"/>
    <cellStyle name="20% - Accent4 3 7 3" xfId="10821" xr:uid="{163DDE08-5C62-45DD-8CED-69F13E5A679B}"/>
    <cellStyle name="20% - Accent4 3 8" xfId="4534" xr:uid="{00000000-0005-0000-0000-000059020000}"/>
    <cellStyle name="20% - Accent4 3 8 2" xfId="12973" xr:uid="{AD4B6D6E-54CF-4958-BD57-1D19242828D1}"/>
    <cellStyle name="20% - Accent4 3 9" xfId="8755" xr:uid="{224A9BA9-5AB9-416A-992A-2C1C17F6A31C}"/>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39133D13-D1E9-4EE0-8AE0-96B587E1CC3C}"/>
    <cellStyle name="20% - Accent4 4 2 2 3" xfId="11316" xr:uid="{06EF7273-C0DD-423A-9E86-3283BCC7222A}"/>
    <cellStyle name="20% - Accent4 4 2 3" xfId="4950" xr:uid="{00000000-0005-0000-0000-00005E020000}"/>
    <cellStyle name="20% - Accent4 4 2 3 2" xfId="13389" xr:uid="{ADB38D04-5128-4D9D-A1BE-F7F649607179}"/>
    <cellStyle name="20% - Accent4 4 2 4" xfId="9171" xr:uid="{BF5C2E94-3616-47D6-A811-15497B7CF0CE}"/>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66688035-626C-47F3-B7B9-6F59B8AD4DEB}"/>
    <cellStyle name="20% - Accent4 4 3 2 3" xfId="11729" xr:uid="{EEDD196E-BED8-4167-B796-0A92CA2C3468}"/>
    <cellStyle name="20% - Accent4 4 3 3" xfId="5363" xr:uid="{00000000-0005-0000-0000-000062020000}"/>
    <cellStyle name="20% - Accent4 4 3 3 2" xfId="13802" xr:uid="{BD3AE89B-F9BD-4ECC-ACDF-A68B37F36D61}"/>
    <cellStyle name="20% - Accent4 4 3 4" xfId="9584" xr:uid="{1CF853C2-F0E1-465D-80CF-815B5CD01E1B}"/>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BBE3C6EC-97F3-4938-8C10-00B98625E4DF}"/>
    <cellStyle name="20% - Accent4 4 4 2 3" xfId="12142" xr:uid="{C39F4BDE-13FE-44C2-8DE0-5945891400BD}"/>
    <cellStyle name="20% - Accent4 4 4 3" xfId="5776" xr:uid="{00000000-0005-0000-0000-000066020000}"/>
    <cellStyle name="20% - Accent4 4 4 3 2" xfId="14215" xr:uid="{3A6FED59-63DD-45D6-849C-213477A0B5BB}"/>
    <cellStyle name="20% - Accent4 4 4 4" xfId="9997" xr:uid="{3257065E-20FF-48B8-809E-5DDA747CF8AC}"/>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5B99B9C2-9461-4737-B9DE-8F89FA533466}"/>
    <cellStyle name="20% - Accent4 4 5 2 3" xfId="12555" xr:uid="{EB26AADC-3CD0-4DB2-B348-3A26A2EC680E}"/>
    <cellStyle name="20% - Accent4 4 5 3" xfId="6189" xr:uid="{00000000-0005-0000-0000-00006A020000}"/>
    <cellStyle name="20% - Accent4 4 5 3 2" xfId="14628" xr:uid="{D4DCB8D9-BA9C-4E2B-9AD8-26CD128A26C7}"/>
    <cellStyle name="20% - Accent4 4 5 4" xfId="10410" xr:uid="{AA720076-734D-4DA5-814B-CB2E09B5A771}"/>
    <cellStyle name="20% - Accent4 4 6" xfId="2295" xr:uid="{00000000-0005-0000-0000-00006B020000}"/>
    <cellStyle name="20% - Accent4 4 6 2" xfId="6602" xr:uid="{00000000-0005-0000-0000-00006C020000}"/>
    <cellStyle name="20% - Accent4 4 6 2 2" xfId="15041" xr:uid="{8FC55DDB-CB42-4C72-AC58-5A09E9DB09DA}"/>
    <cellStyle name="20% - Accent4 4 6 3" xfId="10823" xr:uid="{57B60BA2-1DD2-4952-B726-00B91FC11C30}"/>
    <cellStyle name="20% - Accent4 4 7" xfId="4536" xr:uid="{00000000-0005-0000-0000-00006D020000}"/>
    <cellStyle name="20% - Accent4 4 7 2" xfId="12975" xr:uid="{762ABCD8-005C-4CE0-A5B5-4E37F1697555}"/>
    <cellStyle name="20% - Accent4 4 8" xfId="8757" xr:uid="{B22A90B6-A1BA-48CA-8AB7-A31C50DF479C}"/>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5C8C085C-886E-4C59-B2A7-2712F5259208}"/>
    <cellStyle name="20% - Accent4 5 2 3" xfId="11309" xr:uid="{7C3ACF73-BDDB-4F4A-9C6C-191F83673FD8}"/>
    <cellStyle name="20% - Accent4 5 3" xfId="4943" xr:uid="{00000000-0005-0000-0000-000071020000}"/>
    <cellStyle name="20% - Accent4 5 3 2" xfId="13382" xr:uid="{173FA738-2109-4366-8208-E06C3324FDE3}"/>
    <cellStyle name="20% - Accent4 5 4" xfId="9164" xr:uid="{14EDB4D2-6C69-4DBD-A8EB-8E9806BC11EB}"/>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8E487718-DD4F-4D5D-BB5A-DBD0A7AF7AC4}"/>
    <cellStyle name="20% - Accent4 6 2 3" xfId="11722" xr:uid="{818AC798-5AE5-4D35-B03A-0A9CF3679A7D}"/>
    <cellStyle name="20% - Accent4 6 3" xfId="5356" xr:uid="{00000000-0005-0000-0000-000075020000}"/>
    <cellStyle name="20% - Accent4 6 3 2" xfId="13795" xr:uid="{3E061440-A658-411C-B1D9-21535880790A}"/>
    <cellStyle name="20% - Accent4 6 4" xfId="9577" xr:uid="{CB5072AB-608B-4F93-B97C-E1C754E75CB0}"/>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668BE4A2-D61B-4A84-9FBC-ADD6A290B028}"/>
    <cellStyle name="20% - Accent4 7 2 3" xfId="12135" xr:uid="{0783416F-A26D-4805-A4F0-5D7173BEC25F}"/>
    <cellStyle name="20% - Accent4 7 3" xfId="5769" xr:uid="{00000000-0005-0000-0000-000079020000}"/>
    <cellStyle name="20% - Accent4 7 3 2" xfId="14208" xr:uid="{36FBA4AA-7F29-4297-B9B7-B5BF1B54E76B}"/>
    <cellStyle name="20% - Accent4 7 4" xfId="9990" xr:uid="{4624253B-7D31-48BB-AE40-BBBBEFFDC911}"/>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D888CFCF-3122-4F40-B49B-4D5CA92A2A8D}"/>
    <cellStyle name="20% - Accent4 8 2 3" xfId="12548" xr:uid="{C8DE889A-07F5-48A2-A8F8-3E01D8DDEF9C}"/>
    <cellStyle name="20% - Accent4 8 3" xfId="6182" xr:uid="{00000000-0005-0000-0000-00007D020000}"/>
    <cellStyle name="20% - Accent4 8 3 2" xfId="14621" xr:uid="{1583FD9B-CB50-47EC-97C6-46C4F17B3ECB}"/>
    <cellStyle name="20% - Accent4 8 4" xfId="10403" xr:uid="{91D6951D-7FC4-4CBB-A349-63F200FAFE20}"/>
    <cellStyle name="20% - Accent4 9" xfId="2288" xr:uid="{00000000-0005-0000-0000-00007E020000}"/>
    <cellStyle name="20% - Accent4 9 2" xfId="6595" xr:uid="{00000000-0005-0000-0000-00007F020000}"/>
    <cellStyle name="20% - Accent4 9 2 2" xfId="15034" xr:uid="{554BA6AF-2820-4BF6-95F9-41648F23AA79}"/>
    <cellStyle name="20% - Accent4 9 3" xfId="10816" xr:uid="{AF9FAB6F-FE57-42BC-80B0-4C8F82840D43}"/>
    <cellStyle name="20% - Accent5" xfId="33" builtinId="46" customBuiltin="1"/>
    <cellStyle name="20% - Accent5 10" xfId="4537" xr:uid="{00000000-0005-0000-0000-000081020000}"/>
    <cellStyle name="20% - Accent5 10 2" xfId="12976" xr:uid="{5FFC5488-3458-4143-B0E9-613F065C4DDB}"/>
    <cellStyle name="20% - Accent5 11" xfId="8758" xr:uid="{F2567AFD-1C87-425B-A7CA-2F6AC573C99B}"/>
    <cellStyle name="20% - Accent5 2" xfId="34" xr:uid="{00000000-0005-0000-0000-000082020000}"/>
    <cellStyle name="20% - Accent5 2 10" xfId="8759" xr:uid="{964C3188-E1EE-4581-BFFA-C11759E3E2E9}"/>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466A0C83-FB60-4D54-83F8-0651C0BDFAFF}"/>
    <cellStyle name="20% - Accent5 2 2 2 2 2 3" xfId="11320" xr:uid="{066192EF-EFC4-489A-A704-A3EBCFA6E0E7}"/>
    <cellStyle name="20% - Accent5 2 2 2 2 3" xfId="4954" xr:uid="{00000000-0005-0000-0000-000088020000}"/>
    <cellStyle name="20% - Accent5 2 2 2 2 3 2" xfId="13393" xr:uid="{924638D3-EA8E-452B-BC11-0A147B19E1D0}"/>
    <cellStyle name="20% - Accent5 2 2 2 2 4" xfId="9175" xr:uid="{D07AFF6A-E647-43AC-AF9D-CEDB29AF8482}"/>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7D76874F-2A57-485F-8A83-967A6144E9BE}"/>
    <cellStyle name="20% - Accent5 2 2 2 3 2 3" xfId="11733" xr:uid="{32617897-8095-4F97-9B97-67743AE6A05F}"/>
    <cellStyle name="20% - Accent5 2 2 2 3 3" xfId="5367" xr:uid="{00000000-0005-0000-0000-00008C020000}"/>
    <cellStyle name="20% - Accent5 2 2 2 3 3 2" xfId="13806" xr:uid="{279A50A7-D8D7-48A8-BFE3-5C3E1AEABF8E}"/>
    <cellStyle name="20% - Accent5 2 2 2 3 4" xfId="9588" xr:uid="{2C094C4D-8195-433A-AB85-3F57334B1172}"/>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E290743B-EAD1-43CF-8C81-B67756EF2723}"/>
    <cellStyle name="20% - Accent5 2 2 2 4 2 3" xfId="12146" xr:uid="{381023B3-D744-45D9-94BA-4AF52265D93D}"/>
    <cellStyle name="20% - Accent5 2 2 2 4 3" xfId="5780" xr:uid="{00000000-0005-0000-0000-000090020000}"/>
    <cellStyle name="20% - Accent5 2 2 2 4 3 2" xfId="14219" xr:uid="{81245B8C-5B4C-4E96-AD21-AAF10C2369D6}"/>
    <cellStyle name="20% - Accent5 2 2 2 4 4" xfId="10001" xr:uid="{25BC3ABC-76CC-4277-81CF-B94284775003}"/>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6BF028BC-6929-49D0-9968-9CD04A711355}"/>
    <cellStyle name="20% - Accent5 2 2 2 5 2 3" xfId="12559" xr:uid="{3D0DCD2F-E241-4D1B-B9F1-3858B8F289D3}"/>
    <cellStyle name="20% - Accent5 2 2 2 5 3" xfId="6193" xr:uid="{00000000-0005-0000-0000-000094020000}"/>
    <cellStyle name="20% - Accent5 2 2 2 5 3 2" xfId="14632" xr:uid="{ECA2760B-CCC6-4E6D-BE44-7F475FF56907}"/>
    <cellStyle name="20% - Accent5 2 2 2 5 4" xfId="10414" xr:uid="{F61226AF-F75D-470E-8D58-A4A8D66EB970}"/>
    <cellStyle name="20% - Accent5 2 2 2 6" xfId="2299" xr:uid="{00000000-0005-0000-0000-000095020000}"/>
    <cellStyle name="20% - Accent5 2 2 2 6 2" xfId="6606" xr:uid="{00000000-0005-0000-0000-000096020000}"/>
    <cellStyle name="20% - Accent5 2 2 2 6 2 2" xfId="15045" xr:uid="{98398717-E86E-4F2F-9BA9-43C047B9AFEA}"/>
    <cellStyle name="20% - Accent5 2 2 2 6 3" xfId="10827" xr:uid="{22A97F4D-5EC7-4262-B543-67EC46BC2DBC}"/>
    <cellStyle name="20% - Accent5 2 2 2 7" xfId="4540" xr:uid="{00000000-0005-0000-0000-000097020000}"/>
    <cellStyle name="20% - Accent5 2 2 2 7 2" xfId="12979" xr:uid="{92697FEB-6F85-4308-8283-01A527CF5A76}"/>
    <cellStyle name="20% - Accent5 2 2 2 8" xfId="8761" xr:uid="{75CF99DB-004F-4D4A-8486-762F7806D5CD}"/>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BB718BBE-B299-4F25-8038-C1C066FB07C6}"/>
    <cellStyle name="20% - Accent5 2 2 3 2 3" xfId="11319" xr:uid="{D6DFBA59-A2ED-4C76-899C-9862C53E9730}"/>
    <cellStyle name="20% - Accent5 2 2 3 3" xfId="4953" xr:uid="{00000000-0005-0000-0000-00009B020000}"/>
    <cellStyle name="20% - Accent5 2 2 3 3 2" xfId="13392" xr:uid="{238FFB70-A722-4968-8BAA-290D117FE0A2}"/>
    <cellStyle name="20% - Accent5 2 2 3 4" xfId="9174" xr:uid="{1BBC1D21-CF52-4F75-A870-3D6811469933}"/>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6D35C51E-9AA5-4D91-B9EA-C0B7C9985616}"/>
    <cellStyle name="20% - Accent5 2 2 4 2 3" xfId="11732" xr:uid="{00EF0A7B-638D-40FF-B0E5-830B27A72ED8}"/>
    <cellStyle name="20% - Accent5 2 2 4 3" xfId="5366" xr:uid="{00000000-0005-0000-0000-00009F020000}"/>
    <cellStyle name="20% - Accent5 2 2 4 3 2" xfId="13805" xr:uid="{7E54CFD8-2B9D-4C43-9F68-98DBB8DB1852}"/>
    <cellStyle name="20% - Accent5 2 2 4 4" xfId="9587" xr:uid="{1A9C9404-A7D6-42DC-B1D9-8313FF19D60F}"/>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B836B454-56F2-490F-A0CF-BE01FDDA3071}"/>
    <cellStyle name="20% - Accent5 2 2 5 2 3" xfId="12145" xr:uid="{68A9D944-1376-4A95-9DA4-521DF1760127}"/>
    <cellStyle name="20% - Accent5 2 2 5 3" xfId="5779" xr:uid="{00000000-0005-0000-0000-0000A3020000}"/>
    <cellStyle name="20% - Accent5 2 2 5 3 2" xfId="14218" xr:uid="{EB28AC17-E65D-48E5-9749-9F8FD76DA8BB}"/>
    <cellStyle name="20% - Accent5 2 2 5 4" xfId="10000" xr:uid="{D45299B2-BA71-4A44-86FC-C0D4DA90EE2E}"/>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F4ABB380-30F5-4AE5-B617-9B96EA80227B}"/>
    <cellStyle name="20% - Accent5 2 2 6 2 3" xfId="12558" xr:uid="{0846BAB1-F868-448A-BD47-AAE9EB8E9A31}"/>
    <cellStyle name="20% - Accent5 2 2 6 3" xfId="6192" xr:uid="{00000000-0005-0000-0000-0000A7020000}"/>
    <cellStyle name="20% - Accent5 2 2 6 3 2" xfId="14631" xr:uid="{173432BC-F8A9-4170-9037-0CF0BEBDCC58}"/>
    <cellStyle name="20% - Accent5 2 2 6 4" xfId="10413" xr:uid="{2D1ADC76-A774-40A9-A72C-738FC5A26A03}"/>
    <cellStyle name="20% - Accent5 2 2 7" xfId="2298" xr:uid="{00000000-0005-0000-0000-0000A8020000}"/>
    <cellStyle name="20% - Accent5 2 2 7 2" xfId="6605" xr:uid="{00000000-0005-0000-0000-0000A9020000}"/>
    <cellStyle name="20% - Accent5 2 2 7 2 2" xfId="15044" xr:uid="{6245DA6F-E11C-4166-87DC-2DB0E4871165}"/>
    <cellStyle name="20% - Accent5 2 2 7 3" xfId="10826" xr:uid="{B8D95EE4-35AF-405F-82C0-7A79896955D7}"/>
    <cellStyle name="20% - Accent5 2 2 8" xfId="4539" xr:uid="{00000000-0005-0000-0000-0000AA020000}"/>
    <cellStyle name="20% - Accent5 2 2 8 2" xfId="12978" xr:uid="{1CD766FC-FF5C-4895-A3E7-D2421718523A}"/>
    <cellStyle name="20% - Accent5 2 2 9" xfId="8760" xr:uid="{BA84AD9E-9A2D-49AA-889E-BE7619F9B3AA}"/>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75B0EF50-851C-4285-83B3-9C882C7279A8}"/>
    <cellStyle name="20% - Accent5 2 3 2 2 3" xfId="11321" xr:uid="{8599C01A-7D63-480F-A375-663BD10FA537}"/>
    <cellStyle name="20% - Accent5 2 3 2 3" xfId="4955" xr:uid="{00000000-0005-0000-0000-0000AF020000}"/>
    <cellStyle name="20% - Accent5 2 3 2 3 2" xfId="13394" xr:uid="{0D132DE9-7D8C-4590-A937-02385FDB8164}"/>
    <cellStyle name="20% - Accent5 2 3 2 4" xfId="9176" xr:uid="{151682B4-0B43-46FD-9253-1F5C9CC96FBB}"/>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1A774BDD-2925-49F8-93F9-468EA6448B7F}"/>
    <cellStyle name="20% - Accent5 2 3 3 2 3" xfId="11734" xr:uid="{AECE634B-A892-4BBF-A05A-40A64C360DC4}"/>
    <cellStyle name="20% - Accent5 2 3 3 3" xfId="5368" xr:uid="{00000000-0005-0000-0000-0000B3020000}"/>
    <cellStyle name="20% - Accent5 2 3 3 3 2" xfId="13807" xr:uid="{031D63E0-8D50-472D-836B-7D7B04CE1764}"/>
    <cellStyle name="20% - Accent5 2 3 3 4" xfId="9589" xr:uid="{B0DEEC19-0087-488E-94E9-411520790E68}"/>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EC1B474A-BF30-4279-BD30-3562F1464A73}"/>
    <cellStyle name="20% - Accent5 2 3 4 2 3" xfId="12147" xr:uid="{F36F53FD-1B7A-4D77-815E-E7707EC137BE}"/>
    <cellStyle name="20% - Accent5 2 3 4 3" xfId="5781" xr:uid="{00000000-0005-0000-0000-0000B7020000}"/>
    <cellStyle name="20% - Accent5 2 3 4 3 2" xfId="14220" xr:uid="{77E9F298-EEB2-41EC-8F8C-671B1833A1F3}"/>
    <cellStyle name="20% - Accent5 2 3 4 4" xfId="10002" xr:uid="{B6262625-39DA-4B61-B1B2-C7574C16BDFA}"/>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8ED67478-AEF6-4E63-B2BF-C65C802D4AFD}"/>
    <cellStyle name="20% - Accent5 2 3 5 2 3" xfId="12560" xr:uid="{7155A198-40DC-4F47-9D1B-F7BE2A9407EA}"/>
    <cellStyle name="20% - Accent5 2 3 5 3" xfId="6194" xr:uid="{00000000-0005-0000-0000-0000BB020000}"/>
    <cellStyle name="20% - Accent5 2 3 5 3 2" xfId="14633" xr:uid="{202077F3-2E37-4D32-932E-D289BA8E2B2B}"/>
    <cellStyle name="20% - Accent5 2 3 5 4" xfId="10415" xr:uid="{3AA50077-3A7D-4A37-8D1B-6D62D440E3F5}"/>
    <cellStyle name="20% - Accent5 2 3 6" xfId="2300" xr:uid="{00000000-0005-0000-0000-0000BC020000}"/>
    <cellStyle name="20% - Accent5 2 3 6 2" xfId="6607" xr:uid="{00000000-0005-0000-0000-0000BD020000}"/>
    <cellStyle name="20% - Accent5 2 3 6 2 2" xfId="15046" xr:uid="{4ECB34AC-C73E-4CD1-9B14-452293459BE6}"/>
    <cellStyle name="20% - Accent5 2 3 6 3" xfId="10828" xr:uid="{7BE5D318-7467-4AE9-AE81-A470E3A14881}"/>
    <cellStyle name="20% - Accent5 2 3 7" xfId="4541" xr:uid="{00000000-0005-0000-0000-0000BE020000}"/>
    <cellStyle name="20% - Accent5 2 3 7 2" xfId="12980" xr:uid="{48E80BFD-48D6-48AE-9F4C-52FCB9A2DD4C}"/>
    <cellStyle name="20% - Accent5 2 3 8" xfId="8762" xr:uid="{3D5B638C-2349-4112-8C44-2013335E0B53}"/>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765FDF56-D33F-45CB-BFB1-E287E30CBF86}"/>
    <cellStyle name="20% - Accent5 2 4 2 3" xfId="11318" xr:uid="{FC502B7C-1091-427B-9EEC-8DDDCF6C2827}"/>
    <cellStyle name="20% - Accent5 2 4 3" xfId="4952" xr:uid="{00000000-0005-0000-0000-0000C2020000}"/>
    <cellStyle name="20% - Accent5 2 4 3 2" xfId="13391" xr:uid="{7B5EC89D-A330-4E33-A43A-10BA3F16B361}"/>
    <cellStyle name="20% - Accent5 2 4 4" xfId="9173" xr:uid="{308807D1-8099-44D0-99D8-1D4D53FBD481}"/>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79D11A92-6398-43BB-A104-CEEDC3C210C7}"/>
    <cellStyle name="20% - Accent5 2 5 2 3" xfId="11731" xr:uid="{DCACC0EC-6851-4E98-AA7C-81ACA86842E7}"/>
    <cellStyle name="20% - Accent5 2 5 3" xfId="5365" xr:uid="{00000000-0005-0000-0000-0000C6020000}"/>
    <cellStyle name="20% - Accent5 2 5 3 2" xfId="13804" xr:uid="{C5EAF6AF-B498-4BE0-84A9-FB35D98BB2CA}"/>
    <cellStyle name="20% - Accent5 2 5 4" xfId="9586" xr:uid="{3DB1AF78-5D57-4FD9-844D-7B787700108D}"/>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8674B767-6D58-408A-B871-5BF93C93E483}"/>
    <cellStyle name="20% - Accent5 2 6 2 3" xfId="12144" xr:uid="{D603575E-B518-4BC8-ABD1-4AFCAA709821}"/>
    <cellStyle name="20% - Accent5 2 6 3" xfId="5778" xr:uid="{00000000-0005-0000-0000-0000CA020000}"/>
    <cellStyle name="20% - Accent5 2 6 3 2" xfId="14217" xr:uid="{33000A15-DC76-45AE-9D8A-EB40FA216325}"/>
    <cellStyle name="20% - Accent5 2 6 4" xfId="9999" xr:uid="{F756142E-AF30-49EC-83C6-9C1AFA27CD0A}"/>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ED0C9649-B2B9-4605-9E72-1A583D46AD2D}"/>
    <cellStyle name="20% - Accent5 2 7 2 3" xfId="12557" xr:uid="{87C1EDAB-BECD-4F1A-AA1F-1A087D29267F}"/>
    <cellStyle name="20% - Accent5 2 7 3" xfId="6191" xr:uid="{00000000-0005-0000-0000-0000CE020000}"/>
    <cellStyle name="20% - Accent5 2 7 3 2" xfId="14630" xr:uid="{46EA0B19-D801-48FF-B1D8-3AA953C168B6}"/>
    <cellStyle name="20% - Accent5 2 7 4" xfId="10412" xr:uid="{F8FF29C0-9B9D-480F-8E78-55F8280C8D9C}"/>
    <cellStyle name="20% - Accent5 2 8" xfId="2297" xr:uid="{00000000-0005-0000-0000-0000CF020000}"/>
    <cellStyle name="20% - Accent5 2 8 2" xfId="6604" xr:uid="{00000000-0005-0000-0000-0000D0020000}"/>
    <cellStyle name="20% - Accent5 2 8 2 2" xfId="15043" xr:uid="{D7DDDE03-6871-48A6-9B6E-C4753DE72D43}"/>
    <cellStyle name="20% - Accent5 2 8 3" xfId="10825" xr:uid="{8B4EA365-C083-44CD-B8D7-60C5D5BAAE75}"/>
    <cellStyle name="20% - Accent5 2 9" xfId="4538" xr:uid="{00000000-0005-0000-0000-0000D1020000}"/>
    <cellStyle name="20% - Accent5 2 9 2" xfId="12977" xr:uid="{6DFC7187-6FCF-4C85-A671-365E55943D04}"/>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0591D08B-EA76-49A1-96CC-479B063DB0C5}"/>
    <cellStyle name="20% - Accent5 3 2 2 2 3" xfId="11323" xr:uid="{AD0FC5E2-F753-4FAC-839A-ADBEDFD6888C}"/>
    <cellStyle name="20% - Accent5 3 2 2 3" xfId="4957" xr:uid="{00000000-0005-0000-0000-0000D7020000}"/>
    <cellStyle name="20% - Accent5 3 2 2 3 2" xfId="13396" xr:uid="{4A8106E3-BB17-47EC-AFB8-59BAB31A170C}"/>
    <cellStyle name="20% - Accent5 3 2 2 4" xfId="9178" xr:uid="{B77B2DE2-321B-453E-8018-A9909F05AEFC}"/>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16CEA983-FCB8-458C-9BB8-A37BE78045B7}"/>
    <cellStyle name="20% - Accent5 3 2 3 2 3" xfId="11736" xr:uid="{2C5B2012-4022-4DED-87AC-E8A35C631C4E}"/>
    <cellStyle name="20% - Accent5 3 2 3 3" xfId="5370" xr:uid="{00000000-0005-0000-0000-0000DB020000}"/>
    <cellStyle name="20% - Accent5 3 2 3 3 2" xfId="13809" xr:uid="{3FC97B43-C8E6-4C19-BBF2-7A78DB343C8B}"/>
    <cellStyle name="20% - Accent5 3 2 3 4" xfId="9591" xr:uid="{92DC6A56-7F9C-4F32-9D39-DBE8EFC06635}"/>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87E18D99-F2F8-445C-8F86-0BB92AA9052A}"/>
    <cellStyle name="20% - Accent5 3 2 4 2 3" xfId="12149" xr:uid="{7655E1CC-A732-47DE-8F57-DC3642C91AC3}"/>
    <cellStyle name="20% - Accent5 3 2 4 3" xfId="5783" xr:uid="{00000000-0005-0000-0000-0000DF020000}"/>
    <cellStyle name="20% - Accent5 3 2 4 3 2" xfId="14222" xr:uid="{A6609498-3FB7-4919-A11E-5AE31D6454EA}"/>
    <cellStyle name="20% - Accent5 3 2 4 4" xfId="10004" xr:uid="{94DB3A74-91EF-4171-9C05-7F1AF5A48278}"/>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6B5850B3-5EA9-4A8C-9CA7-84CCBBA251D6}"/>
    <cellStyle name="20% - Accent5 3 2 5 2 3" xfId="12562" xr:uid="{7C00515B-3E37-4F6C-9628-1A8C2A991CC2}"/>
    <cellStyle name="20% - Accent5 3 2 5 3" xfId="6196" xr:uid="{00000000-0005-0000-0000-0000E3020000}"/>
    <cellStyle name="20% - Accent5 3 2 5 3 2" xfId="14635" xr:uid="{85722BE1-0440-4DB1-8432-A2F652347C20}"/>
    <cellStyle name="20% - Accent5 3 2 5 4" xfId="10417" xr:uid="{FBB4D134-5E1D-4A43-B5DD-0E8D5FBE5139}"/>
    <cellStyle name="20% - Accent5 3 2 6" xfId="2302" xr:uid="{00000000-0005-0000-0000-0000E4020000}"/>
    <cellStyle name="20% - Accent5 3 2 6 2" xfId="6609" xr:uid="{00000000-0005-0000-0000-0000E5020000}"/>
    <cellStyle name="20% - Accent5 3 2 6 2 2" xfId="15048" xr:uid="{FAF121C8-5F75-4239-A67E-92E9CF9609BC}"/>
    <cellStyle name="20% - Accent5 3 2 6 3" xfId="10830" xr:uid="{49AF98CE-EC66-4368-B1B4-DB0E223DF806}"/>
    <cellStyle name="20% - Accent5 3 2 7" xfId="4543" xr:uid="{00000000-0005-0000-0000-0000E6020000}"/>
    <cellStyle name="20% - Accent5 3 2 7 2" xfId="12982" xr:uid="{8F8F9A31-A973-4680-9A47-73727E41AFD5}"/>
    <cellStyle name="20% - Accent5 3 2 8" xfId="8764" xr:uid="{35B18FDA-D1FD-4285-8DC7-C949C7CD2EF4}"/>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55EA23E5-BC6C-42AC-A799-4A572FA0FB92}"/>
    <cellStyle name="20% - Accent5 3 3 2 3" xfId="11322" xr:uid="{4D9160BF-77A6-4FA0-ACC2-93E35C6F1517}"/>
    <cellStyle name="20% - Accent5 3 3 3" xfId="4956" xr:uid="{00000000-0005-0000-0000-0000EA020000}"/>
    <cellStyle name="20% - Accent5 3 3 3 2" xfId="13395" xr:uid="{226DE7B3-3091-49EE-9507-7D8E7825F784}"/>
    <cellStyle name="20% - Accent5 3 3 4" xfId="9177" xr:uid="{5D6B73E3-9535-474C-B5C2-D875A596558F}"/>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6A5D4BE2-3F0D-46FB-8B73-B011299418BE}"/>
    <cellStyle name="20% - Accent5 3 4 2 3" xfId="11735" xr:uid="{A7AEE1D1-4B23-4934-9BA2-51F4595956DB}"/>
    <cellStyle name="20% - Accent5 3 4 3" xfId="5369" xr:uid="{00000000-0005-0000-0000-0000EE020000}"/>
    <cellStyle name="20% - Accent5 3 4 3 2" xfId="13808" xr:uid="{F50E5FB5-1148-403E-BB20-6D599577B53A}"/>
    <cellStyle name="20% - Accent5 3 4 4" xfId="9590" xr:uid="{ADA1A0D8-0EE9-4223-8D3A-F8A57F31C7A9}"/>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AD358540-D267-4109-9228-C9C3B3B035B7}"/>
    <cellStyle name="20% - Accent5 3 5 2 3" xfId="12148" xr:uid="{ACB0C829-E404-49EC-A851-0ABE100B27CF}"/>
    <cellStyle name="20% - Accent5 3 5 3" xfId="5782" xr:uid="{00000000-0005-0000-0000-0000F2020000}"/>
    <cellStyle name="20% - Accent5 3 5 3 2" xfId="14221" xr:uid="{B6615F94-1A0D-4E10-8FC5-B45F1CFA63E4}"/>
    <cellStyle name="20% - Accent5 3 5 4" xfId="10003" xr:uid="{7D54F20D-BBBB-45FC-8099-8347AD8C16FC}"/>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178B1BF8-DD84-4607-9F71-FE85178B8539}"/>
    <cellStyle name="20% - Accent5 3 6 2 3" xfId="12561" xr:uid="{7C9D5CCF-9701-4C70-9607-086227EA9BC0}"/>
    <cellStyle name="20% - Accent5 3 6 3" xfId="6195" xr:uid="{00000000-0005-0000-0000-0000F6020000}"/>
    <cellStyle name="20% - Accent5 3 6 3 2" xfId="14634" xr:uid="{3DF54748-59C2-4B39-8B2B-011FC955064A}"/>
    <cellStyle name="20% - Accent5 3 6 4" xfId="10416" xr:uid="{4D70587B-813B-45D5-8265-64827EC98283}"/>
    <cellStyle name="20% - Accent5 3 7" xfId="2301" xr:uid="{00000000-0005-0000-0000-0000F7020000}"/>
    <cellStyle name="20% - Accent5 3 7 2" xfId="6608" xr:uid="{00000000-0005-0000-0000-0000F8020000}"/>
    <cellStyle name="20% - Accent5 3 7 2 2" xfId="15047" xr:uid="{DD133917-321A-42DD-9968-FEB6C1F61F43}"/>
    <cellStyle name="20% - Accent5 3 7 3" xfId="10829" xr:uid="{FCEE1FF9-99C4-4B8E-945C-72BA2CC0F64E}"/>
    <cellStyle name="20% - Accent5 3 8" xfId="4542" xr:uid="{00000000-0005-0000-0000-0000F9020000}"/>
    <cellStyle name="20% - Accent5 3 8 2" xfId="12981" xr:uid="{A09C0FA1-CE4B-44D0-BFA6-28F8E6E15D7C}"/>
    <cellStyle name="20% - Accent5 3 9" xfId="8763" xr:uid="{9C52BF81-2CE6-4E19-AEC6-39D03F98EC9A}"/>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2538D585-B20C-4578-A9C6-C76D26E95D31}"/>
    <cellStyle name="20% - Accent5 4 2 2 3" xfId="11324" xr:uid="{CDDFEFFF-7A6F-4A80-93A0-45C2578FA671}"/>
    <cellStyle name="20% - Accent5 4 2 3" xfId="4958" xr:uid="{00000000-0005-0000-0000-0000FE020000}"/>
    <cellStyle name="20% - Accent5 4 2 3 2" xfId="13397" xr:uid="{CB54C46E-AD7C-4CB4-AA0C-12445EC7E2CF}"/>
    <cellStyle name="20% - Accent5 4 2 4" xfId="9179" xr:uid="{4E66EA93-9F05-4BDF-819F-6113C65E0766}"/>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B0E9B119-3CDF-45F8-A203-0C8DED88CEFB}"/>
    <cellStyle name="20% - Accent5 4 3 2 3" xfId="11737" xr:uid="{0895241A-478C-44DB-9622-FABACB34A0FF}"/>
    <cellStyle name="20% - Accent5 4 3 3" xfId="5371" xr:uid="{00000000-0005-0000-0000-000002030000}"/>
    <cellStyle name="20% - Accent5 4 3 3 2" xfId="13810" xr:uid="{D8EF5F03-AA5F-4D69-8BE3-3A02727D63D9}"/>
    <cellStyle name="20% - Accent5 4 3 4" xfId="9592" xr:uid="{90A9D517-54F4-42B6-B0CF-E73733937468}"/>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4FEE7A99-3FC9-4206-BC8B-99E6C03C3FC8}"/>
    <cellStyle name="20% - Accent5 4 4 2 3" xfId="12150" xr:uid="{666EBA5D-CCCA-4618-84F5-B97DAF51B7C6}"/>
    <cellStyle name="20% - Accent5 4 4 3" xfId="5784" xr:uid="{00000000-0005-0000-0000-000006030000}"/>
    <cellStyle name="20% - Accent5 4 4 3 2" xfId="14223" xr:uid="{65DFEB70-B480-484B-826F-4A30EE752E41}"/>
    <cellStyle name="20% - Accent5 4 4 4" xfId="10005" xr:uid="{44774D2B-FEEE-4D71-B30B-FF93B5CE5482}"/>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0B70861B-762E-4C33-A3CD-65F5EF50AA1C}"/>
    <cellStyle name="20% - Accent5 4 5 2 3" xfId="12563" xr:uid="{2D3D1DA4-5897-45A8-871F-8E3E613FAD99}"/>
    <cellStyle name="20% - Accent5 4 5 3" xfId="6197" xr:uid="{00000000-0005-0000-0000-00000A030000}"/>
    <cellStyle name="20% - Accent5 4 5 3 2" xfId="14636" xr:uid="{7871178D-5A10-4134-897D-04F2BD093B01}"/>
    <cellStyle name="20% - Accent5 4 5 4" xfId="10418" xr:uid="{0451FE72-F60E-4BCC-AD1D-051CD7E96F16}"/>
    <cellStyle name="20% - Accent5 4 6" xfId="2303" xr:uid="{00000000-0005-0000-0000-00000B030000}"/>
    <cellStyle name="20% - Accent5 4 6 2" xfId="6610" xr:uid="{00000000-0005-0000-0000-00000C030000}"/>
    <cellStyle name="20% - Accent5 4 6 2 2" xfId="15049" xr:uid="{AE69CBD1-3DE0-4024-A647-EF896F3525D3}"/>
    <cellStyle name="20% - Accent5 4 6 3" xfId="10831" xr:uid="{3D4901FF-24A4-4C9B-ADE2-8EB9F2D820DD}"/>
    <cellStyle name="20% - Accent5 4 7" xfId="4544" xr:uid="{00000000-0005-0000-0000-00000D030000}"/>
    <cellStyle name="20% - Accent5 4 7 2" xfId="12983" xr:uid="{1F6DFA25-AD4F-48A1-859E-21094C3D2A89}"/>
    <cellStyle name="20% - Accent5 4 8" xfId="8765" xr:uid="{A45C2F94-B545-4C3D-9705-06E7304D4435}"/>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B902E296-C38D-41CD-9E76-707C43A3C743}"/>
    <cellStyle name="20% - Accent5 5 2 3" xfId="11317" xr:uid="{20B50333-9F1C-427E-B76F-2EE26069777A}"/>
    <cellStyle name="20% - Accent5 5 3" xfId="4951" xr:uid="{00000000-0005-0000-0000-000011030000}"/>
    <cellStyle name="20% - Accent5 5 3 2" xfId="13390" xr:uid="{BC80E9CF-C516-4A44-8C50-6FC35470220F}"/>
    <cellStyle name="20% - Accent5 5 4" xfId="9172" xr:uid="{7D2B2276-3C12-4CAC-B2BD-1903FEC622F2}"/>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79BBEAC1-DAAB-49DA-B5DB-6DC09A6BF3CE}"/>
    <cellStyle name="20% - Accent5 6 2 3" xfId="11730" xr:uid="{58FA3F69-850C-4184-A902-1AB5967357CB}"/>
    <cellStyle name="20% - Accent5 6 3" xfId="5364" xr:uid="{00000000-0005-0000-0000-000015030000}"/>
    <cellStyle name="20% - Accent5 6 3 2" xfId="13803" xr:uid="{130FCB86-C5DC-4961-AF8B-B32AEC670C2F}"/>
    <cellStyle name="20% - Accent5 6 4" xfId="9585" xr:uid="{CAF3A6B3-91F2-4A60-9542-F03B42732424}"/>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79711AC7-392A-4E6F-B6FB-97D0525E4F25}"/>
    <cellStyle name="20% - Accent5 7 2 3" xfId="12143" xr:uid="{A0A985F1-37C5-437F-BBA8-35DD48AD9E0B}"/>
    <cellStyle name="20% - Accent5 7 3" xfId="5777" xr:uid="{00000000-0005-0000-0000-000019030000}"/>
    <cellStyle name="20% - Accent5 7 3 2" xfId="14216" xr:uid="{AD51BD18-DCB8-4DCB-BDA1-CE974D99ED86}"/>
    <cellStyle name="20% - Accent5 7 4" xfId="9998" xr:uid="{3CA1D313-75A4-44BC-A1CA-DF038C1B53FF}"/>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47FFC625-9A7C-433F-9586-B704459590E2}"/>
    <cellStyle name="20% - Accent5 8 2 3" xfId="12556" xr:uid="{C7011A08-77B8-442E-9750-A742019E8087}"/>
    <cellStyle name="20% - Accent5 8 3" xfId="6190" xr:uid="{00000000-0005-0000-0000-00001D030000}"/>
    <cellStyle name="20% - Accent5 8 3 2" xfId="14629" xr:uid="{FFB10198-537D-4D34-8122-6D0987472899}"/>
    <cellStyle name="20% - Accent5 8 4" xfId="10411" xr:uid="{88345CA7-A975-481C-BD16-28475B84B132}"/>
    <cellStyle name="20% - Accent5 9" xfId="2296" xr:uid="{00000000-0005-0000-0000-00001E030000}"/>
    <cellStyle name="20% - Accent5 9 2" xfId="6603" xr:uid="{00000000-0005-0000-0000-00001F030000}"/>
    <cellStyle name="20% - Accent5 9 2 2" xfId="15042" xr:uid="{C56158A6-94CE-43D1-924E-52EFE0CD4CD4}"/>
    <cellStyle name="20% - Accent5 9 3" xfId="10824" xr:uid="{AE7165C7-405C-43F9-B3FF-E5768B3E198F}"/>
    <cellStyle name="20% - Accent6" xfId="41" builtinId="50" customBuiltin="1"/>
    <cellStyle name="20% - Accent6 10" xfId="4545" xr:uid="{00000000-0005-0000-0000-000021030000}"/>
    <cellStyle name="20% - Accent6 10 2" xfId="12984" xr:uid="{6AEBF116-2150-441F-BC42-3357DC08A4D2}"/>
    <cellStyle name="20% - Accent6 11" xfId="8766" xr:uid="{B1944B11-5CD5-46A0-9AE0-6124B61D2CB4}"/>
    <cellStyle name="20% - Accent6 2" xfId="42" xr:uid="{00000000-0005-0000-0000-000022030000}"/>
    <cellStyle name="20% - Accent6 2 10" xfId="8767" xr:uid="{4AC8D34C-CA44-41A1-80BB-19984B5AB019}"/>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62FC87DA-F581-4DB7-92CD-6FB187E7790F}"/>
    <cellStyle name="20% - Accent6 2 2 2 2 2 3" xfId="11328" xr:uid="{AFCB88FC-9245-4F65-88E7-565C89F4C19D}"/>
    <cellStyle name="20% - Accent6 2 2 2 2 3" xfId="4962" xr:uid="{00000000-0005-0000-0000-000028030000}"/>
    <cellStyle name="20% - Accent6 2 2 2 2 3 2" xfId="13401" xr:uid="{084F089F-FEC3-4E15-BFBF-DAC09DC1271C}"/>
    <cellStyle name="20% - Accent6 2 2 2 2 4" xfId="9183" xr:uid="{6C61F443-73BC-4DF9-ACFD-06F7BF52F47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8E3E7B3E-2A85-4399-9E80-FB65B6BCED30}"/>
    <cellStyle name="20% - Accent6 2 2 2 3 2 3" xfId="11741" xr:uid="{A19FEF36-FBD3-48B1-8C08-F5C5A758D5EE}"/>
    <cellStyle name="20% - Accent6 2 2 2 3 3" xfId="5375" xr:uid="{00000000-0005-0000-0000-00002C030000}"/>
    <cellStyle name="20% - Accent6 2 2 2 3 3 2" xfId="13814" xr:uid="{2E3A32A9-F614-49FA-8BA3-A00117C6C2C7}"/>
    <cellStyle name="20% - Accent6 2 2 2 3 4" xfId="9596" xr:uid="{32ACEF57-314A-44C9-8E7A-0153E3A53364}"/>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57429C38-6A71-4918-A92F-0792CF1CD8B5}"/>
    <cellStyle name="20% - Accent6 2 2 2 4 2 3" xfId="12154" xr:uid="{BD22EB02-29B1-40ED-97AF-01E1058D735E}"/>
    <cellStyle name="20% - Accent6 2 2 2 4 3" xfId="5788" xr:uid="{00000000-0005-0000-0000-000030030000}"/>
    <cellStyle name="20% - Accent6 2 2 2 4 3 2" xfId="14227" xr:uid="{3F707C2E-FB9B-4797-AE4E-3A248F903434}"/>
    <cellStyle name="20% - Accent6 2 2 2 4 4" xfId="10009" xr:uid="{2F277172-BCCA-4865-90A1-583CFC143245}"/>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CFCB94B6-A8E6-4BB0-BCA3-9F579FB4EE8F}"/>
    <cellStyle name="20% - Accent6 2 2 2 5 2 3" xfId="12567" xr:uid="{DA90942E-93A3-4B39-81A6-AF3DEFBED1C9}"/>
    <cellStyle name="20% - Accent6 2 2 2 5 3" xfId="6201" xr:uid="{00000000-0005-0000-0000-000034030000}"/>
    <cellStyle name="20% - Accent6 2 2 2 5 3 2" xfId="14640" xr:uid="{E029BF71-7595-4B57-BB5A-891B492FB0E2}"/>
    <cellStyle name="20% - Accent6 2 2 2 5 4" xfId="10422" xr:uid="{EB44A1D4-6D02-4C27-BF88-4BF5C2C4A835}"/>
    <cellStyle name="20% - Accent6 2 2 2 6" xfId="2307" xr:uid="{00000000-0005-0000-0000-000035030000}"/>
    <cellStyle name="20% - Accent6 2 2 2 6 2" xfId="6614" xr:uid="{00000000-0005-0000-0000-000036030000}"/>
    <cellStyle name="20% - Accent6 2 2 2 6 2 2" xfId="15053" xr:uid="{EDD79EFA-5F79-44B3-BB1A-B5215D9E0812}"/>
    <cellStyle name="20% - Accent6 2 2 2 6 3" xfId="10835" xr:uid="{6C4D6288-F0DC-4DB4-AC9F-0E507D5CA4AC}"/>
    <cellStyle name="20% - Accent6 2 2 2 7" xfId="4548" xr:uid="{00000000-0005-0000-0000-000037030000}"/>
    <cellStyle name="20% - Accent6 2 2 2 7 2" xfId="12987" xr:uid="{2CF573DC-FFDA-4C9C-8154-6E65FE1979CA}"/>
    <cellStyle name="20% - Accent6 2 2 2 8" xfId="8769" xr:uid="{094ABE66-16EC-4767-B88C-A93757AA1B9B}"/>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6271D690-8AF0-453B-A08E-D148C9F80C5A}"/>
    <cellStyle name="20% - Accent6 2 2 3 2 3" xfId="11327" xr:uid="{3285F5E6-D0A5-4AE4-91D9-2D742E755CBB}"/>
    <cellStyle name="20% - Accent6 2 2 3 3" xfId="4961" xr:uid="{00000000-0005-0000-0000-00003B030000}"/>
    <cellStyle name="20% - Accent6 2 2 3 3 2" xfId="13400" xr:uid="{C5934933-CE83-4191-9DE0-7FE166C994C2}"/>
    <cellStyle name="20% - Accent6 2 2 3 4" xfId="9182" xr:uid="{392D4A0B-1E0E-4E5C-8F30-EE9CC7E96052}"/>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986FFE75-8D5C-48AF-AEF4-2CF446B19D57}"/>
    <cellStyle name="20% - Accent6 2 2 4 2 3" xfId="11740" xr:uid="{2540F085-A753-481E-AB61-C8C319A1B1BD}"/>
    <cellStyle name="20% - Accent6 2 2 4 3" xfId="5374" xr:uid="{00000000-0005-0000-0000-00003F030000}"/>
    <cellStyle name="20% - Accent6 2 2 4 3 2" xfId="13813" xr:uid="{DAC7C9C8-35BF-4A72-9ECD-99E871804C79}"/>
    <cellStyle name="20% - Accent6 2 2 4 4" xfId="9595" xr:uid="{44525D25-03F4-4035-9BA1-0DAC5A29C46A}"/>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CB4E7E44-41FA-425B-9816-E054220CCDB8}"/>
    <cellStyle name="20% - Accent6 2 2 5 2 3" xfId="12153" xr:uid="{191384DE-0246-4C84-B90B-F231010DC659}"/>
    <cellStyle name="20% - Accent6 2 2 5 3" xfId="5787" xr:uid="{00000000-0005-0000-0000-000043030000}"/>
    <cellStyle name="20% - Accent6 2 2 5 3 2" xfId="14226" xr:uid="{072CD4C0-0F51-44A3-B1F2-52D703873F9D}"/>
    <cellStyle name="20% - Accent6 2 2 5 4" xfId="10008" xr:uid="{879BCEEA-6CB1-4ABF-93D9-4ED264630BCC}"/>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3A2D1243-2A6B-498E-A1DD-49A5A3329834}"/>
    <cellStyle name="20% - Accent6 2 2 6 2 3" xfId="12566" xr:uid="{42A34295-878A-4531-9F2C-7ADF614D1401}"/>
    <cellStyle name="20% - Accent6 2 2 6 3" xfId="6200" xr:uid="{00000000-0005-0000-0000-000047030000}"/>
    <cellStyle name="20% - Accent6 2 2 6 3 2" xfId="14639" xr:uid="{F41420F0-3AB4-4FA0-9730-F5847E24E27A}"/>
    <cellStyle name="20% - Accent6 2 2 6 4" xfId="10421" xr:uid="{6D266A23-AAE2-4D1B-B0E6-5FEBEAA047DA}"/>
    <cellStyle name="20% - Accent6 2 2 7" xfId="2306" xr:uid="{00000000-0005-0000-0000-000048030000}"/>
    <cellStyle name="20% - Accent6 2 2 7 2" xfId="6613" xr:uid="{00000000-0005-0000-0000-000049030000}"/>
    <cellStyle name="20% - Accent6 2 2 7 2 2" xfId="15052" xr:uid="{5DCCAF82-D11A-4B25-A8F7-D9EB1EF67101}"/>
    <cellStyle name="20% - Accent6 2 2 7 3" xfId="10834" xr:uid="{ED245A39-1428-480B-AE5E-A230516B7128}"/>
    <cellStyle name="20% - Accent6 2 2 8" xfId="4547" xr:uid="{00000000-0005-0000-0000-00004A030000}"/>
    <cellStyle name="20% - Accent6 2 2 8 2" xfId="12986" xr:uid="{39984638-C01A-4FAF-9319-882BCCDA33AF}"/>
    <cellStyle name="20% - Accent6 2 2 9" xfId="8768" xr:uid="{7958912B-DBCF-4AA5-B9FA-0769A07F36CF}"/>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1FD50124-A7A7-46C5-A1E7-96FDA98CA2F3}"/>
    <cellStyle name="20% - Accent6 2 3 2 2 3" xfId="11329" xr:uid="{2A040EE2-4F34-44D6-93B6-9F04CF6C0230}"/>
    <cellStyle name="20% - Accent6 2 3 2 3" xfId="4963" xr:uid="{00000000-0005-0000-0000-00004F030000}"/>
    <cellStyle name="20% - Accent6 2 3 2 3 2" xfId="13402" xr:uid="{63C73DCE-660C-4567-940E-02BB9C200292}"/>
    <cellStyle name="20% - Accent6 2 3 2 4" xfId="9184" xr:uid="{FCF9A118-57CF-4393-B378-E9F380C36EEF}"/>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F755188F-6B35-43D7-B525-4CCCCF9A8FEF}"/>
    <cellStyle name="20% - Accent6 2 3 3 2 3" xfId="11742" xr:uid="{F9A0D8EC-85D3-43BA-A85F-3C413206A8CE}"/>
    <cellStyle name="20% - Accent6 2 3 3 3" xfId="5376" xr:uid="{00000000-0005-0000-0000-000053030000}"/>
    <cellStyle name="20% - Accent6 2 3 3 3 2" xfId="13815" xr:uid="{A7D3DF4D-A79B-4579-9E1C-4B6FB1B4454A}"/>
    <cellStyle name="20% - Accent6 2 3 3 4" xfId="9597" xr:uid="{5AA7B164-4839-40FB-AC3C-209287E262B0}"/>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876EA0B3-F336-44B2-BBCE-FD68DE26F356}"/>
    <cellStyle name="20% - Accent6 2 3 4 2 3" xfId="12155" xr:uid="{1F51E377-C515-4199-8686-7ED852A55F07}"/>
    <cellStyle name="20% - Accent6 2 3 4 3" xfId="5789" xr:uid="{00000000-0005-0000-0000-000057030000}"/>
    <cellStyle name="20% - Accent6 2 3 4 3 2" xfId="14228" xr:uid="{436AD3A7-FEF4-4455-B2CF-0B98C8D128E9}"/>
    <cellStyle name="20% - Accent6 2 3 4 4" xfId="10010" xr:uid="{2339D1C0-A779-4C3F-8BF6-C4F8D414BFE4}"/>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7C951BAC-7372-4953-A08B-BB4E0F9865E5}"/>
    <cellStyle name="20% - Accent6 2 3 5 2 3" xfId="12568" xr:uid="{9AC5D4AE-934B-410E-8B04-2C3BA5C6C3D9}"/>
    <cellStyle name="20% - Accent6 2 3 5 3" xfId="6202" xr:uid="{00000000-0005-0000-0000-00005B030000}"/>
    <cellStyle name="20% - Accent6 2 3 5 3 2" xfId="14641" xr:uid="{5FC23BAE-F37A-4276-897D-B1365D33B983}"/>
    <cellStyle name="20% - Accent6 2 3 5 4" xfId="10423" xr:uid="{3CC7BF96-092A-436D-8B20-6A03E9BF6FB4}"/>
    <cellStyle name="20% - Accent6 2 3 6" xfId="2308" xr:uid="{00000000-0005-0000-0000-00005C030000}"/>
    <cellStyle name="20% - Accent6 2 3 6 2" xfId="6615" xr:uid="{00000000-0005-0000-0000-00005D030000}"/>
    <cellStyle name="20% - Accent6 2 3 6 2 2" xfId="15054" xr:uid="{936EFEE1-068B-40C7-8757-9706037054FA}"/>
    <cellStyle name="20% - Accent6 2 3 6 3" xfId="10836" xr:uid="{60263DA4-64EA-4702-8680-F5607124A161}"/>
    <cellStyle name="20% - Accent6 2 3 7" xfId="4549" xr:uid="{00000000-0005-0000-0000-00005E030000}"/>
    <cellStyle name="20% - Accent6 2 3 7 2" xfId="12988" xr:uid="{5AACE922-9D6B-4DE7-A771-FEC9FC2BF314}"/>
    <cellStyle name="20% - Accent6 2 3 8" xfId="8770" xr:uid="{A4CF4A8C-6F20-448D-879B-9A4A060A4D07}"/>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9747CD2F-5B50-4B9E-B357-BD5431B354A3}"/>
    <cellStyle name="20% - Accent6 2 4 2 3" xfId="11326" xr:uid="{2EEE887C-271E-4ECE-937B-5BACCC091CDB}"/>
    <cellStyle name="20% - Accent6 2 4 3" xfId="4960" xr:uid="{00000000-0005-0000-0000-000062030000}"/>
    <cellStyle name="20% - Accent6 2 4 3 2" xfId="13399" xr:uid="{D36664B2-48AB-4C80-A007-5FD19F139CBE}"/>
    <cellStyle name="20% - Accent6 2 4 4" xfId="9181" xr:uid="{853A39E1-B33A-4080-BA8D-CD19249A6E2F}"/>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AB0E912F-C7AB-44FB-95A5-0B641B8C1142}"/>
    <cellStyle name="20% - Accent6 2 5 2 3" xfId="11739" xr:uid="{E1C51C4E-ABA8-4D24-BB73-5F6488BE9032}"/>
    <cellStyle name="20% - Accent6 2 5 3" xfId="5373" xr:uid="{00000000-0005-0000-0000-000066030000}"/>
    <cellStyle name="20% - Accent6 2 5 3 2" xfId="13812" xr:uid="{571F8EA5-B657-4974-9A78-5E81C2E905AB}"/>
    <cellStyle name="20% - Accent6 2 5 4" xfId="9594" xr:uid="{442121A2-B66B-41E7-B1B5-A8AAA0884121}"/>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6ECDB2A4-BB6D-47F4-ADB3-3E66A9CF7C5E}"/>
    <cellStyle name="20% - Accent6 2 6 2 3" xfId="12152" xr:uid="{926D0E51-B081-460C-B3F0-05323266E321}"/>
    <cellStyle name="20% - Accent6 2 6 3" xfId="5786" xr:uid="{00000000-0005-0000-0000-00006A030000}"/>
    <cellStyle name="20% - Accent6 2 6 3 2" xfId="14225" xr:uid="{E5BFB032-E3A5-4F54-B8D6-196B77D55AA1}"/>
    <cellStyle name="20% - Accent6 2 6 4" xfId="10007" xr:uid="{096E1F0B-6F99-4213-AD6E-4C0A07A5A206}"/>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9BE22B4E-84C9-408A-9391-3E760208F2C5}"/>
    <cellStyle name="20% - Accent6 2 7 2 3" xfId="12565" xr:uid="{54F8D7F0-3984-4043-99EB-E5C7B4CFAFC2}"/>
    <cellStyle name="20% - Accent6 2 7 3" xfId="6199" xr:uid="{00000000-0005-0000-0000-00006E030000}"/>
    <cellStyle name="20% - Accent6 2 7 3 2" xfId="14638" xr:uid="{8AF59446-B973-4189-8227-A83A110B90D5}"/>
    <cellStyle name="20% - Accent6 2 7 4" xfId="10420" xr:uid="{95548179-A601-48B2-9704-8D627131F34A}"/>
    <cellStyle name="20% - Accent6 2 8" xfId="2305" xr:uid="{00000000-0005-0000-0000-00006F030000}"/>
    <cellStyle name="20% - Accent6 2 8 2" xfId="6612" xr:uid="{00000000-0005-0000-0000-000070030000}"/>
    <cellStyle name="20% - Accent6 2 8 2 2" xfId="15051" xr:uid="{E1170F53-2167-4A75-9E64-0BCE759F27F0}"/>
    <cellStyle name="20% - Accent6 2 8 3" xfId="10833" xr:uid="{ED1352E4-E728-4AF5-B864-2AE385E61B13}"/>
    <cellStyle name="20% - Accent6 2 9" xfId="4546" xr:uid="{00000000-0005-0000-0000-000071030000}"/>
    <cellStyle name="20% - Accent6 2 9 2" xfId="12985" xr:uid="{2F198BBD-625F-460C-9C98-439B92FB75B1}"/>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FEC9734F-46EB-452D-B550-3217BEB0608C}"/>
    <cellStyle name="20% - Accent6 3 2 2 2 3" xfId="11331" xr:uid="{80A7CDEB-5F13-4934-9655-C287CCA8793F}"/>
    <cellStyle name="20% - Accent6 3 2 2 3" xfId="4965" xr:uid="{00000000-0005-0000-0000-000077030000}"/>
    <cellStyle name="20% - Accent6 3 2 2 3 2" xfId="13404" xr:uid="{F3D3171D-7A21-453D-AB60-3F2487204F8D}"/>
    <cellStyle name="20% - Accent6 3 2 2 4" xfId="9186" xr:uid="{A0EAA18B-13B6-45F6-804D-675B08940D25}"/>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2EF80452-A438-4729-B2CA-F577A0C2E1B2}"/>
    <cellStyle name="20% - Accent6 3 2 3 2 3" xfId="11744" xr:uid="{27EEB521-9601-4A20-B218-264557EAD5FC}"/>
    <cellStyle name="20% - Accent6 3 2 3 3" xfId="5378" xr:uid="{00000000-0005-0000-0000-00007B030000}"/>
    <cellStyle name="20% - Accent6 3 2 3 3 2" xfId="13817" xr:uid="{BAA9E348-1658-4BB5-A5BD-EC071F8EA42F}"/>
    <cellStyle name="20% - Accent6 3 2 3 4" xfId="9599" xr:uid="{A7B424A1-4743-4780-805F-8FE0484504F8}"/>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070987BC-5D6D-40FB-9BFA-33028B99E41E}"/>
    <cellStyle name="20% - Accent6 3 2 4 2 3" xfId="12157" xr:uid="{BE7596E9-0EBB-4C4B-AEB8-5742EDD8331F}"/>
    <cellStyle name="20% - Accent6 3 2 4 3" xfId="5791" xr:uid="{00000000-0005-0000-0000-00007F030000}"/>
    <cellStyle name="20% - Accent6 3 2 4 3 2" xfId="14230" xr:uid="{88F0A4D7-4818-48DF-8975-041D80612705}"/>
    <cellStyle name="20% - Accent6 3 2 4 4" xfId="10012" xr:uid="{EEFE95A1-6E98-4356-9409-0293773F41E6}"/>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08760346-2B26-46AB-8E61-49F6904DD6E0}"/>
    <cellStyle name="20% - Accent6 3 2 5 2 3" xfId="12570" xr:uid="{6F2B3755-290E-4E8E-A55B-E4E2A39BE292}"/>
    <cellStyle name="20% - Accent6 3 2 5 3" xfId="6204" xr:uid="{00000000-0005-0000-0000-000083030000}"/>
    <cellStyle name="20% - Accent6 3 2 5 3 2" xfId="14643" xr:uid="{44E1B708-6CAB-4210-BA33-FE5CD86B805D}"/>
    <cellStyle name="20% - Accent6 3 2 5 4" xfId="10425" xr:uid="{FD2AA8CD-55C9-4395-9717-4A243206C7DF}"/>
    <cellStyle name="20% - Accent6 3 2 6" xfId="2310" xr:uid="{00000000-0005-0000-0000-000084030000}"/>
    <cellStyle name="20% - Accent6 3 2 6 2" xfId="6617" xr:uid="{00000000-0005-0000-0000-000085030000}"/>
    <cellStyle name="20% - Accent6 3 2 6 2 2" xfId="15056" xr:uid="{C92B6B0D-0761-4406-A8F9-2A866BEAF65D}"/>
    <cellStyle name="20% - Accent6 3 2 6 3" xfId="10838" xr:uid="{C03B072C-A2E4-4C79-8ADF-B13B09124C51}"/>
    <cellStyle name="20% - Accent6 3 2 7" xfId="4551" xr:uid="{00000000-0005-0000-0000-000086030000}"/>
    <cellStyle name="20% - Accent6 3 2 7 2" xfId="12990" xr:uid="{47003B65-1B2C-4ABB-91EA-184A713F0258}"/>
    <cellStyle name="20% - Accent6 3 2 8" xfId="8772" xr:uid="{EA6AFF28-D12A-4711-B626-02E8CEEBA11B}"/>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7B5EF161-6B43-4D43-921D-277E8F9A51AB}"/>
    <cellStyle name="20% - Accent6 3 3 2 3" xfId="11330" xr:uid="{5D4CBBB3-3D57-45C0-8091-7F3FAAF85072}"/>
    <cellStyle name="20% - Accent6 3 3 3" xfId="4964" xr:uid="{00000000-0005-0000-0000-00008A030000}"/>
    <cellStyle name="20% - Accent6 3 3 3 2" xfId="13403" xr:uid="{09B7F504-1B44-4B86-85C0-89222BD847FD}"/>
    <cellStyle name="20% - Accent6 3 3 4" xfId="9185" xr:uid="{1A43935A-6790-4444-8DA9-6BEE13E6BF3D}"/>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9CC5F44B-5195-4CC2-AED5-A5C6D42AC78A}"/>
    <cellStyle name="20% - Accent6 3 4 2 3" xfId="11743" xr:uid="{368629FE-9318-42F2-9A87-C4C20CE55CB1}"/>
    <cellStyle name="20% - Accent6 3 4 3" xfId="5377" xr:uid="{00000000-0005-0000-0000-00008E030000}"/>
    <cellStyle name="20% - Accent6 3 4 3 2" xfId="13816" xr:uid="{C8D8DE3F-2771-4E50-B40D-F6E71202E3D8}"/>
    <cellStyle name="20% - Accent6 3 4 4" xfId="9598" xr:uid="{9085E433-9E6C-4854-8499-D17AD371D9BA}"/>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3FD33FD7-A3B5-4389-BA78-20AD0BFF3014}"/>
    <cellStyle name="20% - Accent6 3 5 2 3" xfId="12156" xr:uid="{09B7D120-704B-4788-8C93-AEA3D82C8122}"/>
    <cellStyle name="20% - Accent6 3 5 3" xfId="5790" xr:uid="{00000000-0005-0000-0000-000092030000}"/>
    <cellStyle name="20% - Accent6 3 5 3 2" xfId="14229" xr:uid="{058C050D-A4BB-41EE-8EFA-6FC73579C730}"/>
    <cellStyle name="20% - Accent6 3 5 4" xfId="10011" xr:uid="{81A08201-B5A5-4D29-B6C3-410780A8ED77}"/>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2AB1B617-DB7A-421C-BF2C-B44B721BE8C8}"/>
    <cellStyle name="20% - Accent6 3 6 2 3" xfId="12569" xr:uid="{7D4A21DF-801B-4906-A965-80847A4DEBD8}"/>
    <cellStyle name="20% - Accent6 3 6 3" xfId="6203" xr:uid="{00000000-0005-0000-0000-000096030000}"/>
    <cellStyle name="20% - Accent6 3 6 3 2" xfId="14642" xr:uid="{820C8A2B-D932-4CBA-8354-00B72B58AC92}"/>
    <cellStyle name="20% - Accent6 3 6 4" xfId="10424" xr:uid="{ECC6B623-C0B1-4770-B591-0891D7A9FB3D}"/>
    <cellStyle name="20% - Accent6 3 7" xfId="2309" xr:uid="{00000000-0005-0000-0000-000097030000}"/>
    <cellStyle name="20% - Accent6 3 7 2" xfId="6616" xr:uid="{00000000-0005-0000-0000-000098030000}"/>
    <cellStyle name="20% - Accent6 3 7 2 2" xfId="15055" xr:uid="{ABA90DC5-6959-40C9-97F9-2192CC0DAA68}"/>
    <cellStyle name="20% - Accent6 3 7 3" xfId="10837" xr:uid="{C2809C70-D54B-43A6-B957-2E854F8B00B9}"/>
    <cellStyle name="20% - Accent6 3 8" xfId="4550" xr:uid="{00000000-0005-0000-0000-000099030000}"/>
    <cellStyle name="20% - Accent6 3 8 2" xfId="12989" xr:uid="{27DB3EE2-C12F-47B1-8124-E11289367908}"/>
    <cellStyle name="20% - Accent6 3 9" xfId="8771" xr:uid="{29D44711-6995-42F8-ABB2-7CB17AC85532}"/>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541E1915-726D-431F-8DB9-CBF873CD85D3}"/>
    <cellStyle name="20% - Accent6 4 2 2 3" xfId="11332" xr:uid="{8574DBAA-DDEE-4507-B21D-0A9C561C0C50}"/>
    <cellStyle name="20% - Accent6 4 2 3" xfId="4966" xr:uid="{00000000-0005-0000-0000-00009E030000}"/>
    <cellStyle name="20% - Accent6 4 2 3 2" xfId="13405" xr:uid="{85AFBA11-062A-427F-904F-0AF2C2961955}"/>
    <cellStyle name="20% - Accent6 4 2 4" xfId="9187" xr:uid="{AC40FDFB-945A-4851-B40E-AC0045D79597}"/>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45877136-BE0F-4F24-B014-109CEAE02971}"/>
    <cellStyle name="20% - Accent6 4 3 2 3" xfId="11745" xr:uid="{57EBD585-2339-46A1-956F-CB0968EB8CB3}"/>
    <cellStyle name="20% - Accent6 4 3 3" xfId="5379" xr:uid="{00000000-0005-0000-0000-0000A2030000}"/>
    <cellStyle name="20% - Accent6 4 3 3 2" xfId="13818" xr:uid="{5122D8FB-BD1D-4170-83F5-2106E01DDB11}"/>
    <cellStyle name="20% - Accent6 4 3 4" xfId="9600" xr:uid="{0F6ECA54-820F-489C-B398-D21146E26B9A}"/>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356E97E7-5618-425B-AF09-134A69B6F854}"/>
    <cellStyle name="20% - Accent6 4 4 2 3" xfId="12158" xr:uid="{5778E653-DCE0-430C-BF71-1F42EC24601E}"/>
    <cellStyle name="20% - Accent6 4 4 3" xfId="5792" xr:uid="{00000000-0005-0000-0000-0000A6030000}"/>
    <cellStyle name="20% - Accent6 4 4 3 2" xfId="14231" xr:uid="{8DA5C1AC-C457-480D-97F9-AB17DD952167}"/>
    <cellStyle name="20% - Accent6 4 4 4" xfId="10013" xr:uid="{07CF18F6-2C8A-4E3D-A7A7-284045D38469}"/>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86368835-EB91-4E3F-B368-AAD810B6FA02}"/>
    <cellStyle name="20% - Accent6 4 5 2 3" xfId="12571" xr:uid="{CA1BB987-0C0C-4ABD-92EF-318371DAAD87}"/>
    <cellStyle name="20% - Accent6 4 5 3" xfId="6205" xr:uid="{00000000-0005-0000-0000-0000AA030000}"/>
    <cellStyle name="20% - Accent6 4 5 3 2" xfId="14644" xr:uid="{311BE6C8-B618-46FA-9075-8B099AC0CB33}"/>
    <cellStyle name="20% - Accent6 4 5 4" xfId="10426" xr:uid="{61DE3271-C452-4338-AD5A-5476A228E861}"/>
    <cellStyle name="20% - Accent6 4 6" xfId="2311" xr:uid="{00000000-0005-0000-0000-0000AB030000}"/>
    <cellStyle name="20% - Accent6 4 6 2" xfId="6618" xr:uid="{00000000-0005-0000-0000-0000AC030000}"/>
    <cellStyle name="20% - Accent6 4 6 2 2" xfId="15057" xr:uid="{72EB9E06-1CCD-48BC-AA31-5F690DC6772A}"/>
    <cellStyle name="20% - Accent6 4 6 3" xfId="10839" xr:uid="{D44D5DFF-959D-4B89-80AA-884588DC4979}"/>
    <cellStyle name="20% - Accent6 4 7" xfId="4552" xr:uid="{00000000-0005-0000-0000-0000AD030000}"/>
    <cellStyle name="20% - Accent6 4 7 2" xfId="12991" xr:uid="{8CA97D61-6499-44A9-883B-6A37A767F0A5}"/>
    <cellStyle name="20% - Accent6 4 8" xfId="8773" xr:uid="{2619AE91-4630-4616-9D2E-11A7F8E51590}"/>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96AC7589-FCDB-4CC9-9904-E62F6616A88E}"/>
    <cellStyle name="20% - Accent6 5 2 3" xfId="11325" xr:uid="{9DFE7673-CCB1-4FB9-82D7-11F591F85B04}"/>
    <cellStyle name="20% - Accent6 5 3" xfId="4959" xr:uid="{00000000-0005-0000-0000-0000B1030000}"/>
    <cellStyle name="20% - Accent6 5 3 2" xfId="13398" xr:uid="{49FD04C0-E06F-480D-ACE0-54E64FAAEF9B}"/>
    <cellStyle name="20% - Accent6 5 4" xfId="9180" xr:uid="{D2058172-982D-4DFC-868B-19F1049EC764}"/>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C2BD9D86-EAE4-4CCB-A06D-DA2DA64AB49E}"/>
    <cellStyle name="20% - Accent6 6 2 3" xfId="11738" xr:uid="{7BBE76E8-22DF-4E94-AED7-603C90241B64}"/>
    <cellStyle name="20% - Accent6 6 3" xfId="5372" xr:uid="{00000000-0005-0000-0000-0000B5030000}"/>
    <cellStyle name="20% - Accent6 6 3 2" xfId="13811" xr:uid="{EB923924-29D7-40ED-93C2-3395378DD840}"/>
    <cellStyle name="20% - Accent6 6 4" xfId="9593" xr:uid="{AC6DE06B-B795-4E5E-A1AF-77D90B89812E}"/>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381A5B2B-B23D-4A0E-9058-3ECA2ED18B0A}"/>
    <cellStyle name="20% - Accent6 7 2 3" xfId="12151" xr:uid="{26E6F846-6B14-476F-8546-719F6CD62582}"/>
    <cellStyle name="20% - Accent6 7 3" xfId="5785" xr:uid="{00000000-0005-0000-0000-0000B9030000}"/>
    <cellStyle name="20% - Accent6 7 3 2" xfId="14224" xr:uid="{60A76F92-D2D6-45B0-BB19-4A53E4D97365}"/>
    <cellStyle name="20% - Accent6 7 4" xfId="10006" xr:uid="{4FA21B86-0D11-4A24-B349-9F87EA53335B}"/>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6D1A03BD-EBE2-42C5-831F-2E68539589D9}"/>
    <cellStyle name="20% - Accent6 8 2 3" xfId="12564" xr:uid="{292439FD-8116-4AA1-A8BB-3577D717E975}"/>
    <cellStyle name="20% - Accent6 8 3" xfId="6198" xr:uid="{00000000-0005-0000-0000-0000BD030000}"/>
    <cellStyle name="20% - Accent6 8 3 2" xfId="14637" xr:uid="{390E9D75-8E0A-43E2-9CB3-6969BDC6CCD8}"/>
    <cellStyle name="20% - Accent6 8 4" xfId="10419" xr:uid="{AFFE562E-0D17-4DFC-9C86-72622F3FD080}"/>
    <cellStyle name="20% - Accent6 9" xfId="2304" xr:uid="{00000000-0005-0000-0000-0000BE030000}"/>
    <cellStyle name="20% - Accent6 9 2" xfId="6611" xr:uid="{00000000-0005-0000-0000-0000BF030000}"/>
    <cellStyle name="20% - Accent6 9 2 2" xfId="15050" xr:uid="{1D46CDF7-3F2C-4C0B-8C46-551A43D33590}"/>
    <cellStyle name="20% - Accent6 9 3" xfId="10832" xr:uid="{BC9F12BD-FD32-46BA-B8B0-30EF8C9C15EF}"/>
    <cellStyle name="40% - Accent1" xfId="49" builtinId="31" customBuiltin="1"/>
    <cellStyle name="40% - Accent1 10" xfId="4553" xr:uid="{00000000-0005-0000-0000-0000C1030000}"/>
    <cellStyle name="40% - Accent1 10 2" xfId="12992" xr:uid="{B32E0B0A-5D4A-4B0A-9123-CE3C580C123F}"/>
    <cellStyle name="40% - Accent1 11" xfId="8774" xr:uid="{45760AB6-B9A6-4079-B036-056A7E0E167B}"/>
    <cellStyle name="40% - Accent1 2" xfId="50" xr:uid="{00000000-0005-0000-0000-0000C2030000}"/>
    <cellStyle name="40% - Accent1 2 10" xfId="8775" xr:uid="{5A1A0271-09F2-42DC-86B9-AB62C2924F62}"/>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9D438DD3-3044-4281-8A34-4D2120298F7D}"/>
    <cellStyle name="40% - Accent1 2 2 2 2 2 3" xfId="11336" xr:uid="{229CE7C0-87E1-4002-8A22-349D5A3DBF0A}"/>
    <cellStyle name="40% - Accent1 2 2 2 2 3" xfId="4970" xr:uid="{00000000-0005-0000-0000-0000C8030000}"/>
    <cellStyle name="40% - Accent1 2 2 2 2 3 2" xfId="13409" xr:uid="{2EF580EF-8B17-4D8E-B9E5-C49F42B86816}"/>
    <cellStyle name="40% - Accent1 2 2 2 2 4" xfId="9191" xr:uid="{2E394960-8171-4FBE-9E2A-A1ACD6253D59}"/>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9A749758-2951-4FFD-8DA5-85CF58E20B12}"/>
    <cellStyle name="40% - Accent1 2 2 2 3 2 3" xfId="11749" xr:uid="{5DA00555-D1BB-4A89-AE6C-288563EE5027}"/>
    <cellStyle name="40% - Accent1 2 2 2 3 3" xfId="5383" xr:uid="{00000000-0005-0000-0000-0000CC030000}"/>
    <cellStyle name="40% - Accent1 2 2 2 3 3 2" xfId="13822" xr:uid="{A8B2E27D-38D2-455D-BE32-8C4462661C47}"/>
    <cellStyle name="40% - Accent1 2 2 2 3 4" xfId="9604" xr:uid="{085E07FB-7091-4CBC-A835-E83268AE1755}"/>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53C472F0-EF0D-4193-8D56-308B2EB1CC8F}"/>
    <cellStyle name="40% - Accent1 2 2 2 4 2 3" xfId="12162" xr:uid="{3A5D7438-DB76-4704-8B87-66F10F27B88D}"/>
    <cellStyle name="40% - Accent1 2 2 2 4 3" xfId="5796" xr:uid="{00000000-0005-0000-0000-0000D0030000}"/>
    <cellStyle name="40% - Accent1 2 2 2 4 3 2" xfId="14235" xr:uid="{0210F313-0506-4E1F-B84C-F0D409D45B9E}"/>
    <cellStyle name="40% - Accent1 2 2 2 4 4" xfId="10017" xr:uid="{E1496B6C-BD34-4F07-ABD8-49B68C46006A}"/>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25F5E497-1B73-4C1A-8F99-CAB33FCC5DF3}"/>
    <cellStyle name="40% - Accent1 2 2 2 5 2 3" xfId="12575" xr:uid="{4DB614E0-AF45-4A10-9A3E-133D28A00554}"/>
    <cellStyle name="40% - Accent1 2 2 2 5 3" xfId="6209" xr:uid="{00000000-0005-0000-0000-0000D4030000}"/>
    <cellStyle name="40% - Accent1 2 2 2 5 3 2" xfId="14648" xr:uid="{3B3C414B-3D77-4CF5-84CC-902D49D50050}"/>
    <cellStyle name="40% - Accent1 2 2 2 5 4" xfId="10430" xr:uid="{13BEB303-1053-4D75-90F9-6F039D89D3F6}"/>
    <cellStyle name="40% - Accent1 2 2 2 6" xfId="2315" xr:uid="{00000000-0005-0000-0000-0000D5030000}"/>
    <cellStyle name="40% - Accent1 2 2 2 6 2" xfId="6622" xr:uid="{00000000-0005-0000-0000-0000D6030000}"/>
    <cellStyle name="40% - Accent1 2 2 2 6 2 2" xfId="15061" xr:uid="{AD86FC29-7E1B-4B67-836B-8C8CC69B68E1}"/>
    <cellStyle name="40% - Accent1 2 2 2 6 3" xfId="10843" xr:uid="{492096E6-3848-451E-8565-4417A346D47C}"/>
    <cellStyle name="40% - Accent1 2 2 2 7" xfId="4556" xr:uid="{00000000-0005-0000-0000-0000D7030000}"/>
    <cellStyle name="40% - Accent1 2 2 2 7 2" xfId="12995" xr:uid="{7D0CBC3F-DD11-4592-839A-B0C953193192}"/>
    <cellStyle name="40% - Accent1 2 2 2 8" xfId="8777" xr:uid="{95F9C500-9A37-44F9-82AB-734A47BC2899}"/>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9E59D997-5D08-499C-8C76-DB6DCB0FE9D6}"/>
    <cellStyle name="40% - Accent1 2 2 3 2 3" xfId="11335" xr:uid="{53424808-DC62-4C93-9A36-797C24753114}"/>
    <cellStyle name="40% - Accent1 2 2 3 3" xfId="4969" xr:uid="{00000000-0005-0000-0000-0000DB030000}"/>
    <cellStyle name="40% - Accent1 2 2 3 3 2" xfId="13408" xr:uid="{63663ADA-52D6-4B18-9CF1-4FD3E5D68F8E}"/>
    <cellStyle name="40% - Accent1 2 2 3 4" xfId="9190" xr:uid="{B970D5BD-2C4E-4E55-9188-3EEFF27AE998}"/>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17974D59-F0F5-49E4-8401-9BDA5792AB18}"/>
    <cellStyle name="40% - Accent1 2 2 4 2 3" xfId="11748" xr:uid="{670DEB23-5B5C-4F6A-9EEF-D7DD1A12AAF1}"/>
    <cellStyle name="40% - Accent1 2 2 4 3" xfId="5382" xr:uid="{00000000-0005-0000-0000-0000DF030000}"/>
    <cellStyle name="40% - Accent1 2 2 4 3 2" xfId="13821" xr:uid="{3A93D73A-163B-4D64-AA20-C8DA8961758E}"/>
    <cellStyle name="40% - Accent1 2 2 4 4" xfId="9603" xr:uid="{66285B8E-32B7-4F0B-B3A1-F0C7861BAE1D}"/>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8995F00A-7A2B-4B7E-8EB2-29ACAB4FED4A}"/>
    <cellStyle name="40% - Accent1 2 2 5 2 3" xfId="12161" xr:uid="{6396C597-D29A-4A68-B9E2-81C9FD1A63E4}"/>
    <cellStyle name="40% - Accent1 2 2 5 3" xfId="5795" xr:uid="{00000000-0005-0000-0000-0000E3030000}"/>
    <cellStyle name="40% - Accent1 2 2 5 3 2" xfId="14234" xr:uid="{79BD8E42-F080-430D-AC8C-6261495DC0FA}"/>
    <cellStyle name="40% - Accent1 2 2 5 4" xfId="10016" xr:uid="{E553ED08-57C2-4CAC-8987-DC6E2302EBD7}"/>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9688B926-F4C2-4525-B7DF-612AA5D89FDD}"/>
    <cellStyle name="40% - Accent1 2 2 6 2 3" xfId="12574" xr:uid="{782AC6B4-3EB9-4987-BC89-A8BE6F7C28E7}"/>
    <cellStyle name="40% - Accent1 2 2 6 3" xfId="6208" xr:uid="{00000000-0005-0000-0000-0000E7030000}"/>
    <cellStyle name="40% - Accent1 2 2 6 3 2" xfId="14647" xr:uid="{0363E9EB-BF9F-46C3-AF56-67757E8F21C8}"/>
    <cellStyle name="40% - Accent1 2 2 6 4" xfId="10429" xr:uid="{FEF2B2B5-CB48-4DFE-973E-20932962BFE6}"/>
    <cellStyle name="40% - Accent1 2 2 7" xfId="2314" xr:uid="{00000000-0005-0000-0000-0000E8030000}"/>
    <cellStyle name="40% - Accent1 2 2 7 2" xfId="6621" xr:uid="{00000000-0005-0000-0000-0000E9030000}"/>
    <cellStyle name="40% - Accent1 2 2 7 2 2" xfId="15060" xr:uid="{8923CC5C-0F82-4A03-8720-4D51EF3F23DC}"/>
    <cellStyle name="40% - Accent1 2 2 7 3" xfId="10842" xr:uid="{274CB2AA-E1E3-4215-9E74-DEABAFC68948}"/>
    <cellStyle name="40% - Accent1 2 2 8" xfId="4555" xr:uid="{00000000-0005-0000-0000-0000EA030000}"/>
    <cellStyle name="40% - Accent1 2 2 8 2" xfId="12994" xr:uid="{74C83ADC-D249-453B-90B7-A8D02ACE5DDE}"/>
    <cellStyle name="40% - Accent1 2 2 9" xfId="8776" xr:uid="{B2EA6E31-C085-4EE7-A0CF-E0EA42FF74CA}"/>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192A0268-6A38-4C16-B86C-EA65D9B590E9}"/>
    <cellStyle name="40% - Accent1 2 3 2 2 3" xfId="11337" xr:uid="{40D984F0-EC1D-4F90-81C9-0420CE5CD656}"/>
    <cellStyle name="40% - Accent1 2 3 2 3" xfId="4971" xr:uid="{00000000-0005-0000-0000-0000EF030000}"/>
    <cellStyle name="40% - Accent1 2 3 2 3 2" xfId="13410" xr:uid="{5EDE4B56-BFD4-4D0F-8AF6-7D19B6BB7000}"/>
    <cellStyle name="40% - Accent1 2 3 2 4" xfId="9192" xr:uid="{D28FE6F5-BE9A-4BDD-8EF3-17FB8B2B5049}"/>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3DD152CE-4ECF-400A-84A1-312476478282}"/>
    <cellStyle name="40% - Accent1 2 3 3 2 3" xfId="11750" xr:uid="{BB3EA43D-CAC4-4F25-8BA9-ECE3FBE6796A}"/>
    <cellStyle name="40% - Accent1 2 3 3 3" xfId="5384" xr:uid="{00000000-0005-0000-0000-0000F3030000}"/>
    <cellStyle name="40% - Accent1 2 3 3 3 2" xfId="13823" xr:uid="{B67A762F-4F9B-4CA1-BD5A-7916A8080347}"/>
    <cellStyle name="40% - Accent1 2 3 3 4" xfId="9605" xr:uid="{7FE3069B-CCD5-4936-B688-E456401ADA4F}"/>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82D464D6-915E-4B86-BF20-FFC207CA87C8}"/>
    <cellStyle name="40% - Accent1 2 3 4 2 3" xfId="12163" xr:uid="{D410E31E-BD4F-43FC-A8E2-ADAD6FE17FB6}"/>
    <cellStyle name="40% - Accent1 2 3 4 3" xfId="5797" xr:uid="{00000000-0005-0000-0000-0000F7030000}"/>
    <cellStyle name="40% - Accent1 2 3 4 3 2" xfId="14236" xr:uid="{B1AFA84E-8CD2-4D01-8FBE-01BC39F1A59E}"/>
    <cellStyle name="40% - Accent1 2 3 4 4" xfId="10018" xr:uid="{1F619C3E-34F1-44DC-AD4A-827B56E34B03}"/>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F3B4CBB4-D95B-4309-A4E1-D6C613CC5F4C}"/>
    <cellStyle name="40% - Accent1 2 3 5 2 3" xfId="12576" xr:uid="{1D8AC5EC-C9D2-47A0-8119-967272A16B5D}"/>
    <cellStyle name="40% - Accent1 2 3 5 3" xfId="6210" xr:uid="{00000000-0005-0000-0000-0000FB030000}"/>
    <cellStyle name="40% - Accent1 2 3 5 3 2" xfId="14649" xr:uid="{FFCC53A3-845C-42E1-94C8-64E024DD0DF3}"/>
    <cellStyle name="40% - Accent1 2 3 5 4" xfId="10431" xr:uid="{767B79BD-4323-48C8-9DA8-52A407C3406B}"/>
    <cellStyle name="40% - Accent1 2 3 6" xfId="2316" xr:uid="{00000000-0005-0000-0000-0000FC030000}"/>
    <cellStyle name="40% - Accent1 2 3 6 2" xfId="6623" xr:uid="{00000000-0005-0000-0000-0000FD030000}"/>
    <cellStyle name="40% - Accent1 2 3 6 2 2" xfId="15062" xr:uid="{ADE8A143-D13A-4546-8882-FD4F809166C5}"/>
    <cellStyle name="40% - Accent1 2 3 6 3" xfId="10844" xr:uid="{2B5B4D4C-A4A4-4E72-86B9-F4DC12F2AE3A}"/>
    <cellStyle name="40% - Accent1 2 3 7" xfId="4557" xr:uid="{00000000-0005-0000-0000-0000FE030000}"/>
    <cellStyle name="40% - Accent1 2 3 7 2" xfId="12996" xr:uid="{7B131EAF-CDAD-4DF4-9D31-E96D35C95238}"/>
    <cellStyle name="40% - Accent1 2 3 8" xfId="8778" xr:uid="{5807AF87-B3F5-4D99-983C-BA255DFA6ADD}"/>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8141EEA3-C06D-4F35-9080-893094A52B4A}"/>
    <cellStyle name="40% - Accent1 2 4 2 3" xfId="11334" xr:uid="{153ADF11-5749-4254-A948-F1F9C9DB301C}"/>
    <cellStyle name="40% - Accent1 2 4 3" xfId="4968" xr:uid="{00000000-0005-0000-0000-000002040000}"/>
    <cellStyle name="40% - Accent1 2 4 3 2" xfId="13407" xr:uid="{29A9D897-65F0-4A80-A356-A4F82E0C5267}"/>
    <cellStyle name="40% - Accent1 2 4 4" xfId="9189" xr:uid="{BF093609-1AF4-4B7A-AF25-E5203B8F887A}"/>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05FD3BE3-A65F-4DA8-BA1E-445AB8C3F3E5}"/>
    <cellStyle name="40% - Accent1 2 5 2 3" xfId="11747" xr:uid="{A66463B5-8F4A-40C6-B822-F8B2A208AB5B}"/>
    <cellStyle name="40% - Accent1 2 5 3" xfId="5381" xr:uid="{00000000-0005-0000-0000-000006040000}"/>
    <cellStyle name="40% - Accent1 2 5 3 2" xfId="13820" xr:uid="{E43846E0-042C-4FD4-AAFA-225B44EA6871}"/>
    <cellStyle name="40% - Accent1 2 5 4" xfId="9602" xr:uid="{9EF11644-9EDF-4481-8E58-EF7EFB47CA19}"/>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9842800F-B55A-469C-9A22-13CA3A845742}"/>
    <cellStyle name="40% - Accent1 2 6 2 3" xfId="12160" xr:uid="{0AD8C7A7-8658-4E67-9E2B-023F09D666AE}"/>
    <cellStyle name="40% - Accent1 2 6 3" xfId="5794" xr:uid="{00000000-0005-0000-0000-00000A040000}"/>
    <cellStyle name="40% - Accent1 2 6 3 2" xfId="14233" xr:uid="{31DFD281-FF94-4F0E-B93A-0BA5BED8216A}"/>
    <cellStyle name="40% - Accent1 2 6 4" xfId="10015" xr:uid="{DF602B4C-B074-48C3-B076-E8336E9330D1}"/>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86A29C59-5672-4F80-94D7-97A758D8FA74}"/>
    <cellStyle name="40% - Accent1 2 7 2 3" xfId="12573" xr:uid="{DED17920-FBA7-489A-A4D9-29F3954F267A}"/>
    <cellStyle name="40% - Accent1 2 7 3" xfId="6207" xr:uid="{00000000-0005-0000-0000-00000E040000}"/>
    <cellStyle name="40% - Accent1 2 7 3 2" xfId="14646" xr:uid="{CDD684B3-96A3-4C14-B8FA-5E26A331A100}"/>
    <cellStyle name="40% - Accent1 2 7 4" xfId="10428" xr:uid="{0AA9504B-595D-4EA2-95A1-4C48E4B23142}"/>
    <cellStyle name="40% - Accent1 2 8" xfId="2313" xr:uid="{00000000-0005-0000-0000-00000F040000}"/>
    <cellStyle name="40% - Accent1 2 8 2" xfId="6620" xr:uid="{00000000-0005-0000-0000-000010040000}"/>
    <cellStyle name="40% - Accent1 2 8 2 2" xfId="15059" xr:uid="{A98CA236-5DF5-4FD9-BF48-D4609C766896}"/>
    <cellStyle name="40% - Accent1 2 8 3" xfId="10841" xr:uid="{EA5D6C2C-CBE0-474E-8A6C-3538ADB7D6DE}"/>
    <cellStyle name="40% - Accent1 2 9" xfId="4554" xr:uid="{00000000-0005-0000-0000-000011040000}"/>
    <cellStyle name="40% - Accent1 2 9 2" xfId="12993" xr:uid="{191841D7-3109-40CF-BE34-D1A620C5B7CA}"/>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C47BFE30-B3CF-409E-852A-7BB9EECA7308}"/>
    <cellStyle name="40% - Accent1 3 2 2 2 3" xfId="11339" xr:uid="{6B988069-6EEA-4C6B-82FA-E3DF159F4720}"/>
    <cellStyle name="40% - Accent1 3 2 2 3" xfId="4973" xr:uid="{00000000-0005-0000-0000-000017040000}"/>
    <cellStyle name="40% - Accent1 3 2 2 3 2" xfId="13412" xr:uid="{C8E31F11-8D75-432C-97BC-50B0A4ED8FEC}"/>
    <cellStyle name="40% - Accent1 3 2 2 4" xfId="9194" xr:uid="{F3DD57B0-8223-459A-A3F8-A3B49ED92A6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D6C2677C-EE95-417A-B20B-543E036EAC7B}"/>
    <cellStyle name="40% - Accent1 3 2 3 2 3" xfId="11752" xr:uid="{46CA2A9E-A173-4052-A20C-2BDF535DA6D9}"/>
    <cellStyle name="40% - Accent1 3 2 3 3" xfId="5386" xr:uid="{00000000-0005-0000-0000-00001B040000}"/>
    <cellStyle name="40% - Accent1 3 2 3 3 2" xfId="13825" xr:uid="{05250806-1B13-4A08-B88D-E2A336ACC88F}"/>
    <cellStyle name="40% - Accent1 3 2 3 4" xfId="9607" xr:uid="{FA699AB4-58DA-4AC1-A44D-65739DFE0FD4}"/>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096E4E38-FA08-4F65-8333-F194534FFC70}"/>
    <cellStyle name="40% - Accent1 3 2 4 2 3" xfId="12165" xr:uid="{0FA8CB55-92D2-42A5-B4E7-E2BCDEE2ACC3}"/>
    <cellStyle name="40% - Accent1 3 2 4 3" xfId="5799" xr:uid="{00000000-0005-0000-0000-00001F040000}"/>
    <cellStyle name="40% - Accent1 3 2 4 3 2" xfId="14238" xr:uid="{D4CC0053-84F0-43FC-B824-D4464128A4AA}"/>
    <cellStyle name="40% - Accent1 3 2 4 4" xfId="10020" xr:uid="{3E8DDBAC-779D-4131-B7B4-8FDD61415242}"/>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AE65A918-0BA7-447F-A83F-37672DA3FB2E}"/>
    <cellStyle name="40% - Accent1 3 2 5 2 3" xfId="12578" xr:uid="{DBEC31D2-C097-48DC-903C-5ED85A7CE137}"/>
    <cellStyle name="40% - Accent1 3 2 5 3" xfId="6212" xr:uid="{00000000-0005-0000-0000-000023040000}"/>
    <cellStyle name="40% - Accent1 3 2 5 3 2" xfId="14651" xr:uid="{439E02A2-41FF-46A1-BD0F-D1827ED8925F}"/>
    <cellStyle name="40% - Accent1 3 2 5 4" xfId="10433" xr:uid="{1AD42CAF-81D5-400F-A5DB-D27EFB1C6667}"/>
    <cellStyle name="40% - Accent1 3 2 6" xfId="2318" xr:uid="{00000000-0005-0000-0000-000024040000}"/>
    <cellStyle name="40% - Accent1 3 2 6 2" xfId="6625" xr:uid="{00000000-0005-0000-0000-000025040000}"/>
    <cellStyle name="40% - Accent1 3 2 6 2 2" xfId="15064" xr:uid="{229DF341-FE4F-4B97-AEC8-95B5D5459FBA}"/>
    <cellStyle name="40% - Accent1 3 2 6 3" xfId="10846" xr:uid="{31F08F05-3D46-43B8-ABBF-51AAA46ADBF0}"/>
    <cellStyle name="40% - Accent1 3 2 7" xfId="4559" xr:uid="{00000000-0005-0000-0000-000026040000}"/>
    <cellStyle name="40% - Accent1 3 2 7 2" xfId="12998" xr:uid="{66FE69E0-49F1-4A8C-8BB2-41A215C24741}"/>
    <cellStyle name="40% - Accent1 3 2 8" xfId="8780" xr:uid="{D41B6A73-E445-4386-A3ED-B28388230A25}"/>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4DFD79CA-401F-4AD8-9985-3C6B4E5F9EDD}"/>
    <cellStyle name="40% - Accent1 3 3 2 3" xfId="11338" xr:uid="{BAE25F57-10D9-4371-A787-1E1803E82414}"/>
    <cellStyle name="40% - Accent1 3 3 3" xfId="4972" xr:uid="{00000000-0005-0000-0000-00002A040000}"/>
    <cellStyle name="40% - Accent1 3 3 3 2" xfId="13411" xr:uid="{F4AA1DC3-3F34-4DD0-B6D2-03246FE4C04F}"/>
    <cellStyle name="40% - Accent1 3 3 4" xfId="9193" xr:uid="{BCB0DCC7-23FF-4FE6-A7BB-4CF6D30F235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A01939BA-2D44-4176-8000-3EFFE5A7657F}"/>
    <cellStyle name="40% - Accent1 3 4 2 3" xfId="11751" xr:uid="{B14E2BAF-355D-442F-89A8-8B218BF9DC07}"/>
    <cellStyle name="40% - Accent1 3 4 3" xfId="5385" xr:uid="{00000000-0005-0000-0000-00002E040000}"/>
    <cellStyle name="40% - Accent1 3 4 3 2" xfId="13824" xr:uid="{3090401E-2AAA-48B6-82BA-37B3B7EAAE9A}"/>
    <cellStyle name="40% - Accent1 3 4 4" xfId="9606" xr:uid="{B14B920E-2C02-4CF5-8D3D-BE5898EE3A94}"/>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5953544C-49E5-4B6D-8318-8B2E8B8D8FA7}"/>
    <cellStyle name="40% - Accent1 3 5 2 3" xfId="12164" xr:uid="{8E8B9E9D-999E-4EC8-8DE5-EE047985E1D3}"/>
    <cellStyle name="40% - Accent1 3 5 3" xfId="5798" xr:uid="{00000000-0005-0000-0000-000032040000}"/>
    <cellStyle name="40% - Accent1 3 5 3 2" xfId="14237" xr:uid="{3C9028F3-E787-45D6-A2BC-2DC2AD0E8770}"/>
    <cellStyle name="40% - Accent1 3 5 4" xfId="10019" xr:uid="{7C19668D-EF8A-4A6C-8186-9D25BC9C8EF9}"/>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564FFCA8-786A-46F5-8F64-A6AA1EF76274}"/>
    <cellStyle name="40% - Accent1 3 6 2 3" xfId="12577" xr:uid="{842FE500-6FD6-479C-9926-85A535D50839}"/>
    <cellStyle name="40% - Accent1 3 6 3" xfId="6211" xr:uid="{00000000-0005-0000-0000-000036040000}"/>
    <cellStyle name="40% - Accent1 3 6 3 2" xfId="14650" xr:uid="{3FBF4B9F-EAED-4708-B31E-65CE8C7840FE}"/>
    <cellStyle name="40% - Accent1 3 6 4" xfId="10432" xr:uid="{A842D25E-E3E7-4388-A06F-14CE504C9B51}"/>
    <cellStyle name="40% - Accent1 3 7" xfId="2317" xr:uid="{00000000-0005-0000-0000-000037040000}"/>
    <cellStyle name="40% - Accent1 3 7 2" xfId="6624" xr:uid="{00000000-0005-0000-0000-000038040000}"/>
    <cellStyle name="40% - Accent1 3 7 2 2" xfId="15063" xr:uid="{9AD26285-D159-4DA8-8753-EFB400DF62F5}"/>
    <cellStyle name="40% - Accent1 3 7 3" xfId="10845" xr:uid="{6489A4DD-40D9-4B3C-B61F-2181896BDFD0}"/>
    <cellStyle name="40% - Accent1 3 8" xfId="4558" xr:uid="{00000000-0005-0000-0000-000039040000}"/>
    <cellStyle name="40% - Accent1 3 8 2" xfId="12997" xr:uid="{E6209C63-B871-40CA-B4AE-F9473FA51E2C}"/>
    <cellStyle name="40% - Accent1 3 9" xfId="8779" xr:uid="{A5319FE5-1B8E-4EDB-8CAC-ABDDF0A757E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AA2B5A9F-D073-4610-BCC6-B5559AADD3AF}"/>
    <cellStyle name="40% - Accent1 4 2 2 3" xfId="11340" xr:uid="{D1B1202C-E247-4633-8436-B233B0451CDF}"/>
    <cellStyle name="40% - Accent1 4 2 3" xfId="4974" xr:uid="{00000000-0005-0000-0000-00003E040000}"/>
    <cellStyle name="40% - Accent1 4 2 3 2" xfId="13413" xr:uid="{305BB92D-C595-4FDD-A60E-7B09B294589F}"/>
    <cellStyle name="40% - Accent1 4 2 4" xfId="9195" xr:uid="{B3D6BBDC-6715-48D5-89C1-0DF6DCE9F5A1}"/>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1DD99499-B9E2-4A4D-8C43-C9F900D7F8DC}"/>
    <cellStyle name="40% - Accent1 4 3 2 3" xfId="11753" xr:uid="{F3FF1C36-EC9A-4976-825F-770447B4DE00}"/>
    <cellStyle name="40% - Accent1 4 3 3" xfId="5387" xr:uid="{00000000-0005-0000-0000-000042040000}"/>
    <cellStyle name="40% - Accent1 4 3 3 2" xfId="13826" xr:uid="{A785BC6F-10FE-472F-9AC8-EA67F9825710}"/>
    <cellStyle name="40% - Accent1 4 3 4" xfId="9608" xr:uid="{4A5F30B6-B014-4721-AD0D-A1FBCDF684D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7859EE30-BAB2-4B83-A150-900BCDC4FDED}"/>
    <cellStyle name="40% - Accent1 4 4 2 3" xfId="12166" xr:uid="{80BE2720-B07E-47DD-B25A-648469D307CD}"/>
    <cellStyle name="40% - Accent1 4 4 3" xfId="5800" xr:uid="{00000000-0005-0000-0000-000046040000}"/>
    <cellStyle name="40% - Accent1 4 4 3 2" xfId="14239" xr:uid="{FF93F689-6989-4BA9-A3A1-B5AB1FCFE449}"/>
    <cellStyle name="40% - Accent1 4 4 4" xfId="10021" xr:uid="{6C8D1D50-D437-43FD-8384-CDB50E29303B}"/>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75A64F6E-3A2E-4286-B336-ABB417872DA3}"/>
    <cellStyle name="40% - Accent1 4 5 2 3" xfId="12579" xr:uid="{64AE21DB-D6A1-46CE-A49C-916F7F60C337}"/>
    <cellStyle name="40% - Accent1 4 5 3" xfId="6213" xr:uid="{00000000-0005-0000-0000-00004A040000}"/>
    <cellStyle name="40% - Accent1 4 5 3 2" xfId="14652" xr:uid="{4B651918-BAC2-4F66-ACDB-B676AA431149}"/>
    <cellStyle name="40% - Accent1 4 5 4" xfId="10434" xr:uid="{0DC35CB8-7F6D-4619-9573-FC1764CC8E27}"/>
    <cellStyle name="40% - Accent1 4 6" xfId="2319" xr:uid="{00000000-0005-0000-0000-00004B040000}"/>
    <cellStyle name="40% - Accent1 4 6 2" xfId="6626" xr:uid="{00000000-0005-0000-0000-00004C040000}"/>
    <cellStyle name="40% - Accent1 4 6 2 2" xfId="15065" xr:uid="{737FEBAA-9ACD-4933-B2E0-F79C1FB58206}"/>
    <cellStyle name="40% - Accent1 4 6 3" xfId="10847" xr:uid="{68E2E9EF-0774-4265-9E6B-16DD584BA672}"/>
    <cellStyle name="40% - Accent1 4 7" xfId="4560" xr:uid="{00000000-0005-0000-0000-00004D040000}"/>
    <cellStyle name="40% - Accent1 4 7 2" xfId="12999" xr:uid="{5DE0B1CA-70C9-44E3-A028-1147312355E0}"/>
    <cellStyle name="40% - Accent1 4 8" xfId="8781" xr:uid="{AB41C2FE-7633-4D56-8621-535940B16AF3}"/>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7A051F82-2927-42C4-B834-3C6534F70B37}"/>
    <cellStyle name="40% - Accent1 5 2 3" xfId="11333" xr:uid="{467BD427-0D90-4A79-97C6-E33D749BBA52}"/>
    <cellStyle name="40% - Accent1 5 3" xfId="4967" xr:uid="{00000000-0005-0000-0000-000051040000}"/>
    <cellStyle name="40% - Accent1 5 3 2" xfId="13406" xr:uid="{5B9C05FD-17D8-4727-AFFA-EA911D8AD420}"/>
    <cellStyle name="40% - Accent1 5 4" xfId="9188" xr:uid="{63B89467-7DAE-4B36-BD8B-FDD4F24658DC}"/>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EE02E74B-3F35-4CFB-9EFC-60761403B51A}"/>
    <cellStyle name="40% - Accent1 6 2 3" xfId="11746" xr:uid="{601C6B88-E1AA-44A3-89F9-4DFF1812028C}"/>
    <cellStyle name="40% - Accent1 6 3" xfId="5380" xr:uid="{00000000-0005-0000-0000-000055040000}"/>
    <cellStyle name="40% - Accent1 6 3 2" xfId="13819" xr:uid="{B187BD2D-E63A-41E6-867F-7D59AD9C670D}"/>
    <cellStyle name="40% - Accent1 6 4" xfId="9601" xr:uid="{35C15811-D5EF-4336-8F0B-E930EEB8BEAC}"/>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13AE041D-E0A5-4EE7-9C2B-C2A79AC1BD25}"/>
    <cellStyle name="40% - Accent1 7 2 3" xfId="12159" xr:uid="{F6A3A2E6-E73F-4C7F-8643-1500D585B21C}"/>
    <cellStyle name="40% - Accent1 7 3" xfId="5793" xr:uid="{00000000-0005-0000-0000-000059040000}"/>
    <cellStyle name="40% - Accent1 7 3 2" xfId="14232" xr:uid="{3B09D9F5-3EC4-40CA-BB89-DC47126E2E4B}"/>
    <cellStyle name="40% - Accent1 7 4" xfId="10014" xr:uid="{737F1485-8870-4E73-92F7-9C58F1D5506E}"/>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772D5A59-9C45-40A0-BC25-6AB06A922ADC}"/>
    <cellStyle name="40% - Accent1 8 2 3" xfId="12572" xr:uid="{0930D975-1AD3-419E-A394-C0F6CFE3E978}"/>
    <cellStyle name="40% - Accent1 8 3" xfId="6206" xr:uid="{00000000-0005-0000-0000-00005D040000}"/>
    <cellStyle name="40% - Accent1 8 3 2" xfId="14645" xr:uid="{E04ABA8D-B87C-4909-987F-9A1C50E0FE20}"/>
    <cellStyle name="40% - Accent1 8 4" xfId="10427" xr:uid="{6411E4B8-8D88-48A6-B03A-B1C705979217}"/>
    <cellStyle name="40% - Accent1 9" xfId="2312" xr:uid="{00000000-0005-0000-0000-00005E040000}"/>
    <cellStyle name="40% - Accent1 9 2" xfId="6619" xr:uid="{00000000-0005-0000-0000-00005F040000}"/>
    <cellStyle name="40% - Accent1 9 2 2" xfId="15058" xr:uid="{C0047884-7988-4AFA-8EAA-D35F0827B7C6}"/>
    <cellStyle name="40% - Accent1 9 3" xfId="10840" xr:uid="{9D09765A-16D7-41DA-9FEC-7DCA1C9FD63A}"/>
    <cellStyle name="40% - Accent2" xfId="57" builtinId="35" customBuiltin="1"/>
    <cellStyle name="40% - Accent2 10" xfId="4561" xr:uid="{00000000-0005-0000-0000-000061040000}"/>
    <cellStyle name="40% - Accent2 10 2" xfId="13000" xr:uid="{0CA0B93E-2667-47CD-AFC1-FCFA8038C572}"/>
    <cellStyle name="40% - Accent2 11" xfId="8782" xr:uid="{83AE8A31-66F8-496B-AA4F-3E53DA53F567}"/>
    <cellStyle name="40% - Accent2 2" xfId="58" xr:uid="{00000000-0005-0000-0000-000062040000}"/>
    <cellStyle name="40% - Accent2 2 10" xfId="8783" xr:uid="{271D7303-3311-441D-A199-6BE1EAC69543}"/>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9CB57923-6CA5-44C0-AE7E-B7A731FC7434}"/>
    <cellStyle name="40% - Accent2 2 2 2 2 2 3" xfId="11344" xr:uid="{7435ACC9-56C5-4844-A525-3C82B23A0D5A}"/>
    <cellStyle name="40% - Accent2 2 2 2 2 3" xfId="4978" xr:uid="{00000000-0005-0000-0000-000068040000}"/>
    <cellStyle name="40% - Accent2 2 2 2 2 3 2" xfId="13417" xr:uid="{D3C74A47-D3B4-4DFA-896D-F25856A7815A}"/>
    <cellStyle name="40% - Accent2 2 2 2 2 4" xfId="9199" xr:uid="{F9946A7A-7F47-4FFE-911F-5F6CD9FC54D7}"/>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D0ED3EAB-7CDD-46CD-AF50-82251CE0C219}"/>
    <cellStyle name="40% - Accent2 2 2 2 3 2 3" xfId="11757" xr:uid="{6FEB3907-B8AE-447C-81AA-402201F50FB1}"/>
    <cellStyle name="40% - Accent2 2 2 2 3 3" xfId="5391" xr:uid="{00000000-0005-0000-0000-00006C040000}"/>
    <cellStyle name="40% - Accent2 2 2 2 3 3 2" xfId="13830" xr:uid="{3D903231-8309-4975-9D70-5BF49FFBD9AD}"/>
    <cellStyle name="40% - Accent2 2 2 2 3 4" xfId="9612" xr:uid="{43510824-6DCD-4381-9C24-EA8471D6A444}"/>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3BF8A7E3-87AE-47D2-A569-0A1AF8240678}"/>
    <cellStyle name="40% - Accent2 2 2 2 4 2 3" xfId="12170" xr:uid="{E8BFE309-DC7B-4AE0-9E06-6435FF708781}"/>
    <cellStyle name="40% - Accent2 2 2 2 4 3" xfId="5804" xr:uid="{00000000-0005-0000-0000-000070040000}"/>
    <cellStyle name="40% - Accent2 2 2 2 4 3 2" xfId="14243" xr:uid="{EB3723CE-D073-4846-9F05-D216D2EB833C}"/>
    <cellStyle name="40% - Accent2 2 2 2 4 4" xfId="10025" xr:uid="{30C2B2AF-D8C4-4A6C-BE5B-287A131AD321}"/>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F633A266-219D-4FF3-909B-04323ECA3B65}"/>
    <cellStyle name="40% - Accent2 2 2 2 5 2 3" xfId="12583" xr:uid="{EDA098F4-914F-4273-A374-8E2BC7F1D93D}"/>
    <cellStyle name="40% - Accent2 2 2 2 5 3" xfId="6217" xr:uid="{00000000-0005-0000-0000-000074040000}"/>
    <cellStyle name="40% - Accent2 2 2 2 5 3 2" xfId="14656" xr:uid="{0EC9F1AA-72A0-4F2B-B9BC-099AC037F669}"/>
    <cellStyle name="40% - Accent2 2 2 2 5 4" xfId="10438" xr:uid="{83EF7BF8-7DA9-466D-8E54-ACC2D225B2B6}"/>
    <cellStyle name="40% - Accent2 2 2 2 6" xfId="2323" xr:uid="{00000000-0005-0000-0000-000075040000}"/>
    <cellStyle name="40% - Accent2 2 2 2 6 2" xfId="6630" xr:uid="{00000000-0005-0000-0000-000076040000}"/>
    <cellStyle name="40% - Accent2 2 2 2 6 2 2" xfId="15069" xr:uid="{8B3ACE84-5BA7-41F9-936D-AED46020E198}"/>
    <cellStyle name="40% - Accent2 2 2 2 6 3" xfId="10851" xr:uid="{F6D03E54-9391-44BE-A119-E3F624798335}"/>
    <cellStyle name="40% - Accent2 2 2 2 7" xfId="4564" xr:uid="{00000000-0005-0000-0000-000077040000}"/>
    <cellStyle name="40% - Accent2 2 2 2 7 2" xfId="13003" xr:uid="{5E0E91CE-E7FD-40D2-8359-5D5E37F1CF1B}"/>
    <cellStyle name="40% - Accent2 2 2 2 8" xfId="8785" xr:uid="{BA81DF57-7016-4774-AED7-301439EB7164}"/>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2342EFF5-DE2E-48B8-BD52-2A2795A9669D}"/>
    <cellStyle name="40% - Accent2 2 2 3 2 3" xfId="11343" xr:uid="{FBE8059D-DB47-4F99-A24D-DB9486275151}"/>
    <cellStyle name="40% - Accent2 2 2 3 3" xfId="4977" xr:uid="{00000000-0005-0000-0000-00007B040000}"/>
    <cellStyle name="40% - Accent2 2 2 3 3 2" xfId="13416" xr:uid="{7F2256C6-137A-4A82-B40F-7FBB568DD0DF}"/>
    <cellStyle name="40% - Accent2 2 2 3 4" xfId="9198" xr:uid="{AA5BF195-9E30-4F60-B482-28440AACA555}"/>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F65CC23F-B4AF-49C7-8DE3-8FBB97AEB34C}"/>
    <cellStyle name="40% - Accent2 2 2 4 2 3" xfId="11756" xr:uid="{503A2FB8-8A01-43A9-BA16-9B804150130F}"/>
    <cellStyle name="40% - Accent2 2 2 4 3" xfId="5390" xr:uid="{00000000-0005-0000-0000-00007F040000}"/>
    <cellStyle name="40% - Accent2 2 2 4 3 2" xfId="13829" xr:uid="{FC6DF0CD-8DCE-4466-89D6-0CD39EBE8EF3}"/>
    <cellStyle name="40% - Accent2 2 2 4 4" xfId="9611" xr:uid="{E7A769A1-88BE-4C8F-A57C-9DCBC81E7BD5}"/>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ECAB0CAA-392C-4C78-8953-9103606FC111}"/>
    <cellStyle name="40% - Accent2 2 2 5 2 3" xfId="12169" xr:uid="{D43D4C1E-D3FC-4C4F-8E7C-8E2B2B32ADD8}"/>
    <cellStyle name="40% - Accent2 2 2 5 3" xfId="5803" xr:uid="{00000000-0005-0000-0000-000083040000}"/>
    <cellStyle name="40% - Accent2 2 2 5 3 2" xfId="14242" xr:uid="{2717C7C4-235C-4268-B1EE-069E65925F09}"/>
    <cellStyle name="40% - Accent2 2 2 5 4" xfId="10024" xr:uid="{2764F5B4-9A89-4BAF-988E-A7C49EA1721C}"/>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3A2C39C3-31C4-43D8-877C-DC340942A9D4}"/>
    <cellStyle name="40% - Accent2 2 2 6 2 3" xfId="12582" xr:uid="{3477A125-CB44-405B-A653-551372FE42C0}"/>
    <cellStyle name="40% - Accent2 2 2 6 3" xfId="6216" xr:uid="{00000000-0005-0000-0000-000087040000}"/>
    <cellStyle name="40% - Accent2 2 2 6 3 2" xfId="14655" xr:uid="{65C2FA35-26B8-4B18-B851-036640DB96E9}"/>
    <cellStyle name="40% - Accent2 2 2 6 4" xfId="10437" xr:uid="{E681A6E7-EAD9-4918-B74B-16396AA2F069}"/>
    <cellStyle name="40% - Accent2 2 2 7" xfId="2322" xr:uid="{00000000-0005-0000-0000-000088040000}"/>
    <cellStyle name="40% - Accent2 2 2 7 2" xfId="6629" xr:uid="{00000000-0005-0000-0000-000089040000}"/>
    <cellStyle name="40% - Accent2 2 2 7 2 2" xfId="15068" xr:uid="{01ADF7FC-98D2-49BD-8729-382FC5C6FFDC}"/>
    <cellStyle name="40% - Accent2 2 2 7 3" xfId="10850" xr:uid="{1BE7D328-7267-44D4-9091-B65387BD060E}"/>
    <cellStyle name="40% - Accent2 2 2 8" xfId="4563" xr:uid="{00000000-0005-0000-0000-00008A040000}"/>
    <cellStyle name="40% - Accent2 2 2 8 2" xfId="13002" xr:uid="{F320BAA6-9FE7-4F3D-AEC8-EC6887FB2153}"/>
    <cellStyle name="40% - Accent2 2 2 9" xfId="8784" xr:uid="{1E922B91-06A3-493C-923E-526BF8876D6B}"/>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FF0E7AFD-2029-44F1-AACA-26E90CB8DBC0}"/>
    <cellStyle name="40% - Accent2 2 3 2 2 3" xfId="11345" xr:uid="{9CFBFBD4-1872-49B6-8E12-0378B25D854D}"/>
    <cellStyle name="40% - Accent2 2 3 2 3" xfId="4979" xr:uid="{00000000-0005-0000-0000-00008F040000}"/>
    <cellStyle name="40% - Accent2 2 3 2 3 2" xfId="13418" xr:uid="{FDDC6C5B-09C3-463E-909A-ED3E966972F4}"/>
    <cellStyle name="40% - Accent2 2 3 2 4" xfId="9200" xr:uid="{04EA57DA-140A-436E-81A3-BE8576DAC8E3}"/>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104139ED-8719-45FD-9858-2D6977C01AC5}"/>
    <cellStyle name="40% - Accent2 2 3 3 2 3" xfId="11758" xr:uid="{BCCD6473-5503-4E4E-9F0C-B4301822664A}"/>
    <cellStyle name="40% - Accent2 2 3 3 3" xfId="5392" xr:uid="{00000000-0005-0000-0000-000093040000}"/>
    <cellStyle name="40% - Accent2 2 3 3 3 2" xfId="13831" xr:uid="{0B9F89EE-4240-43E5-9D7F-C2B711528EFD}"/>
    <cellStyle name="40% - Accent2 2 3 3 4" xfId="9613" xr:uid="{45F6C8D5-D209-4641-9047-9DAB2A8C9B38}"/>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A1E49D95-E4D1-42A7-BDC5-EFAC2B3A2E3E}"/>
    <cellStyle name="40% - Accent2 2 3 4 2 3" xfId="12171" xr:uid="{E6B2686D-2F4E-4AC3-80DA-DB0BE33F0DA8}"/>
    <cellStyle name="40% - Accent2 2 3 4 3" xfId="5805" xr:uid="{00000000-0005-0000-0000-000097040000}"/>
    <cellStyle name="40% - Accent2 2 3 4 3 2" xfId="14244" xr:uid="{69D61ADE-242B-49BA-B246-5A000FF270B3}"/>
    <cellStyle name="40% - Accent2 2 3 4 4" xfId="10026" xr:uid="{204C5AAB-2B54-4141-97EF-ACD6FA165E96}"/>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48A952CF-CCBB-4AEF-B472-190834147927}"/>
    <cellStyle name="40% - Accent2 2 3 5 2 3" xfId="12584" xr:uid="{8F88B573-02C4-417E-B661-0D595DC02E41}"/>
    <cellStyle name="40% - Accent2 2 3 5 3" xfId="6218" xr:uid="{00000000-0005-0000-0000-00009B040000}"/>
    <cellStyle name="40% - Accent2 2 3 5 3 2" xfId="14657" xr:uid="{95DFF7F6-658D-45CC-896B-CF06C49BA0DC}"/>
    <cellStyle name="40% - Accent2 2 3 5 4" xfId="10439" xr:uid="{B588D954-3476-471E-9BB2-25DEB90D6238}"/>
    <cellStyle name="40% - Accent2 2 3 6" xfId="2324" xr:uid="{00000000-0005-0000-0000-00009C040000}"/>
    <cellStyle name="40% - Accent2 2 3 6 2" xfId="6631" xr:uid="{00000000-0005-0000-0000-00009D040000}"/>
    <cellStyle name="40% - Accent2 2 3 6 2 2" xfId="15070" xr:uid="{91196FAC-937A-430C-9E66-E61A588F9461}"/>
    <cellStyle name="40% - Accent2 2 3 6 3" xfId="10852" xr:uid="{DAF0E71F-D8E4-46A5-AFF2-3864EC2701C0}"/>
    <cellStyle name="40% - Accent2 2 3 7" xfId="4565" xr:uid="{00000000-0005-0000-0000-00009E040000}"/>
    <cellStyle name="40% - Accent2 2 3 7 2" xfId="13004" xr:uid="{C1743766-3638-4031-B7FD-72F3CB5EE82E}"/>
    <cellStyle name="40% - Accent2 2 3 8" xfId="8786" xr:uid="{ACD973D9-9913-4282-A2C6-7E61C5AE538C}"/>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B4790D2D-766B-4C0C-A268-FC1DAD674C74}"/>
    <cellStyle name="40% - Accent2 2 4 2 3" xfId="11342" xr:uid="{DCA84803-FE1F-4D53-AD04-ABE546FE6CBC}"/>
    <cellStyle name="40% - Accent2 2 4 3" xfId="4976" xr:uid="{00000000-0005-0000-0000-0000A2040000}"/>
    <cellStyle name="40% - Accent2 2 4 3 2" xfId="13415" xr:uid="{DDD29005-8058-41EF-BCEA-16423196C916}"/>
    <cellStyle name="40% - Accent2 2 4 4" xfId="9197" xr:uid="{00B33972-8AFF-48A4-BC72-F555B867DF32}"/>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DEF3A97E-5E5C-48FC-BC7F-32AC0731C920}"/>
    <cellStyle name="40% - Accent2 2 5 2 3" xfId="11755" xr:uid="{174E4BC1-030B-4992-B7CB-290221CC6FD8}"/>
    <cellStyle name="40% - Accent2 2 5 3" xfId="5389" xr:uid="{00000000-0005-0000-0000-0000A6040000}"/>
    <cellStyle name="40% - Accent2 2 5 3 2" xfId="13828" xr:uid="{5BDB5867-4535-4463-832C-024E48C3842C}"/>
    <cellStyle name="40% - Accent2 2 5 4" xfId="9610" xr:uid="{D3293B04-FBBC-43C6-878B-D716D8B9E69D}"/>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DE69712D-3041-4ACC-ABC0-C2F4BCB2B84A}"/>
    <cellStyle name="40% - Accent2 2 6 2 3" xfId="12168" xr:uid="{F865983D-6251-4411-A3E6-FB880E8BF472}"/>
    <cellStyle name="40% - Accent2 2 6 3" xfId="5802" xr:uid="{00000000-0005-0000-0000-0000AA040000}"/>
    <cellStyle name="40% - Accent2 2 6 3 2" xfId="14241" xr:uid="{E3AAD364-D0E5-4A43-9A6A-3AB2A3683B9D}"/>
    <cellStyle name="40% - Accent2 2 6 4" xfId="10023" xr:uid="{093ECE7B-D102-47E1-A1B9-F6DD9759D5D8}"/>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BA7361D7-94F1-4B2D-A752-43E6F7158329}"/>
    <cellStyle name="40% - Accent2 2 7 2 3" xfId="12581" xr:uid="{CDE8EFEF-F396-457B-92CB-C6D99B5DC483}"/>
    <cellStyle name="40% - Accent2 2 7 3" xfId="6215" xr:uid="{00000000-0005-0000-0000-0000AE040000}"/>
    <cellStyle name="40% - Accent2 2 7 3 2" xfId="14654" xr:uid="{DD4AF60A-ADD7-4EB2-AD63-0E06441A3D7A}"/>
    <cellStyle name="40% - Accent2 2 7 4" xfId="10436" xr:uid="{2560F9CF-B362-4A30-88D0-9BC669D92742}"/>
    <cellStyle name="40% - Accent2 2 8" xfId="2321" xr:uid="{00000000-0005-0000-0000-0000AF040000}"/>
    <cellStyle name="40% - Accent2 2 8 2" xfId="6628" xr:uid="{00000000-0005-0000-0000-0000B0040000}"/>
    <cellStyle name="40% - Accent2 2 8 2 2" xfId="15067" xr:uid="{5B862F75-3491-429D-BA91-35BCEA75167E}"/>
    <cellStyle name="40% - Accent2 2 8 3" xfId="10849" xr:uid="{5B9F02CD-B6EC-4E27-9CA4-3EC5AAA18BD0}"/>
    <cellStyle name="40% - Accent2 2 9" xfId="4562" xr:uid="{00000000-0005-0000-0000-0000B1040000}"/>
    <cellStyle name="40% - Accent2 2 9 2" xfId="13001" xr:uid="{0B28704C-87E1-44F8-9968-6538BE128DA2}"/>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FFDF40CF-21A6-45E4-AEAC-EA9AACDB4E41}"/>
    <cellStyle name="40% - Accent2 3 2 2 2 3" xfId="11347" xr:uid="{42AB0F78-61BE-4A65-91D2-575445073CD2}"/>
    <cellStyle name="40% - Accent2 3 2 2 3" xfId="4981" xr:uid="{00000000-0005-0000-0000-0000B7040000}"/>
    <cellStyle name="40% - Accent2 3 2 2 3 2" xfId="13420" xr:uid="{7DD2008D-A343-4D45-A08A-32BC32E5615A}"/>
    <cellStyle name="40% - Accent2 3 2 2 4" xfId="9202" xr:uid="{26E0C879-1877-4939-9536-821963E93988}"/>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A37BB0A2-9A85-4D65-9EB3-EAFC7147BD11}"/>
    <cellStyle name="40% - Accent2 3 2 3 2 3" xfId="11760" xr:uid="{E33476A3-7570-45B6-A3D5-343136587903}"/>
    <cellStyle name="40% - Accent2 3 2 3 3" xfId="5394" xr:uid="{00000000-0005-0000-0000-0000BB040000}"/>
    <cellStyle name="40% - Accent2 3 2 3 3 2" xfId="13833" xr:uid="{4C7FE2A2-726B-47FD-9799-EE691AAD5C50}"/>
    <cellStyle name="40% - Accent2 3 2 3 4" xfId="9615" xr:uid="{E297C1CF-9A14-455B-961E-DA00E7D48978}"/>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13971696-9C16-4012-BCA9-9D211307A3FA}"/>
    <cellStyle name="40% - Accent2 3 2 4 2 3" xfId="12173" xr:uid="{24650558-7464-4FE9-B0B9-E399EE282A6C}"/>
    <cellStyle name="40% - Accent2 3 2 4 3" xfId="5807" xr:uid="{00000000-0005-0000-0000-0000BF040000}"/>
    <cellStyle name="40% - Accent2 3 2 4 3 2" xfId="14246" xr:uid="{D6F3E3EA-12D2-4D66-BC89-7ACC64B77CD9}"/>
    <cellStyle name="40% - Accent2 3 2 4 4" xfId="10028" xr:uid="{889339A1-19E8-4CC3-AF1E-B5A069141D7A}"/>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191545BF-D9E2-4CF7-96C0-851DE211494E}"/>
    <cellStyle name="40% - Accent2 3 2 5 2 3" xfId="12586" xr:uid="{19D0E8F9-B5E2-4D51-8DC9-16B7A74C9D4B}"/>
    <cellStyle name="40% - Accent2 3 2 5 3" xfId="6220" xr:uid="{00000000-0005-0000-0000-0000C3040000}"/>
    <cellStyle name="40% - Accent2 3 2 5 3 2" xfId="14659" xr:uid="{8F6DFD81-16C3-4E5E-8BC1-4DB7C6AB7DEC}"/>
    <cellStyle name="40% - Accent2 3 2 5 4" xfId="10441" xr:uid="{81BAA73B-A702-45EA-B2FB-B6871B5C71BB}"/>
    <cellStyle name="40% - Accent2 3 2 6" xfId="2326" xr:uid="{00000000-0005-0000-0000-0000C4040000}"/>
    <cellStyle name="40% - Accent2 3 2 6 2" xfId="6633" xr:uid="{00000000-0005-0000-0000-0000C5040000}"/>
    <cellStyle name="40% - Accent2 3 2 6 2 2" xfId="15072" xr:uid="{C5D87C10-7E3C-492E-BB69-42A994BA19DF}"/>
    <cellStyle name="40% - Accent2 3 2 6 3" xfId="10854" xr:uid="{148CF643-C7F1-489B-9D38-2394B51514A0}"/>
    <cellStyle name="40% - Accent2 3 2 7" xfId="4567" xr:uid="{00000000-0005-0000-0000-0000C6040000}"/>
    <cellStyle name="40% - Accent2 3 2 7 2" xfId="13006" xr:uid="{514C8B2D-6B1F-4D41-9BFD-BE2C945CFE84}"/>
    <cellStyle name="40% - Accent2 3 2 8" xfId="8788" xr:uid="{F375BC05-B504-4717-90F5-15ED01F14701}"/>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96D359A0-A813-4F6E-AE0E-866E30CF5EBE}"/>
    <cellStyle name="40% - Accent2 3 3 2 3" xfId="11346" xr:uid="{568CE768-EB60-4DDF-9C94-053EB65E78BA}"/>
    <cellStyle name="40% - Accent2 3 3 3" xfId="4980" xr:uid="{00000000-0005-0000-0000-0000CA040000}"/>
    <cellStyle name="40% - Accent2 3 3 3 2" xfId="13419" xr:uid="{F36B02AE-F28B-4F78-A2DA-24AE53BD80A5}"/>
    <cellStyle name="40% - Accent2 3 3 4" xfId="9201" xr:uid="{273A98EC-F730-47D3-856C-D6F6E2737400}"/>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581E0BE3-4FC0-4C0A-94C1-103892AA7E3B}"/>
    <cellStyle name="40% - Accent2 3 4 2 3" xfId="11759" xr:uid="{05FCA7C3-C79C-4692-9F72-602C6F0074BE}"/>
    <cellStyle name="40% - Accent2 3 4 3" xfId="5393" xr:uid="{00000000-0005-0000-0000-0000CE040000}"/>
    <cellStyle name="40% - Accent2 3 4 3 2" xfId="13832" xr:uid="{7DC8D71D-92DA-41A0-9B85-82E7E7DE668C}"/>
    <cellStyle name="40% - Accent2 3 4 4" xfId="9614" xr:uid="{C1942619-EC40-47A8-8A21-E99C9D81A5C0}"/>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7CE788B3-7B60-4557-B32E-5171C4A0CBAF}"/>
    <cellStyle name="40% - Accent2 3 5 2 3" xfId="12172" xr:uid="{51EFC3BC-E219-43E9-83F3-6A35EB33A947}"/>
    <cellStyle name="40% - Accent2 3 5 3" xfId="5806" xr:uid="{00000000-0005-0000-0000-0000D2040000}"/>
    <cellStyle name="40% - Accent2 3 5 3 2" xfId="14245" xr:uid="{AE2D4DC6-7F1A-4BD1-9541-E78504752270}"/>
    <cellStyle name="40% - Accent2 3 5 4" xfId="10027" xr:uid="{2670C3AC-EDA6-4848-A047-76E48355D5A0}"/>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FE15CDB3-F57D-4777-AD13-0082CFE39E6A}"/>
    <cellStyle name="40% - Accent2 3 6 2 3" xfId="12585" xr:uid="{1F801AEE-92B5-4D26-86E5-DDE1E0CC9C47}"/>
    <cellStyle name="40% - Accent2 3 6 3" xfId="6219" xr:uid="{00000000-0005-0000-0000-0000D6040000}"/>
    <cellStyle name="40% - Accent2 3 6 3 2" xfId="14658" xr:uid="{5CAE3BCB-2F03-40B5-B280-19D7DD36BFE9}"/>
    <cellStyle name="40% - Accent2 3 6 4" xfId="10440" xr:uid="{8F009805-B4B9-4430-9629-7EE6D8D4F487}"/>
    <cellStyle name="40% - Accent2 3 7" xfId="2325" xr:uid="{00000000-0005-0000-0000-0000D7040000}"/>
    <cellStyle name="40% - Accent2 3 7 2" xfId="6632" xr:uid="{00000000-0005-0000-0000-0000D8040000}"/>
    <cellStyle name="40% - Accent2 3 7 2 2" xfId="15071" xr:uid="{1A02D397-0F56-4241-8388-D678C767EE30}"/>
    <cellStyle name="40% - Accent2 3 7 3" xfId="10853" xr:uid="{E15896CA-4EEC-4F73-ADFA-5B0772413BA7}"/>
    <cellStyle name="40% - Accent2 3 8" xfId="4566" xr:uid="{00000000-0005-0000-0000-0000D9040000}"/>
    <cellStyle name="40% - Accent2 3 8 2" xfId="13005" xr:uid="{B253B620-41F8-4FCC-8B41-06E47EB9FDEE}"/>
    <cellStyle name="40% - Accent2 3 9" xfId="8787" xr:uid="{2AEE1FAE-1926-4B46-A09E-EE9811BBCFF8}"/>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39B56AA7-6355-4F73-AF29-6AE734A6FB4B}"/>
    <cellStyle name="40% - Accent2 4 2 2 3" xfId="11348" xr:uid="{A80D81AF-17A5-41A8-9C49-AF97F58B10D9}"/>
    <cellStyle name="40% - Accent2 4 2 3" xfId="4982" xr:uid="{00000000-0005-0000-0000-0000DE040000}"/>
    <cellStyle name="40% - Accent2 4 2 3 2" xfId="13421" xr:uid="{2FEF196B-B259-4ADA-82F8-44AC3814AAF7}"/>
    <cellStyle name="40% - Accent2 4 2 4" xfId="9203" xr:uid="{00F1B6AA-8D6E-435D-8414-825D0FC90A28}"/>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699544E5-6C03-480D-B919-62442BC394A5}"/>
    <cellStyle name="40% - Accent2 4 3 2 3" xfId="11761" xr:uid="{846A4FEF-55E1-47F4-9025-E19DCE7CE32B}"/>
    <cellStyle name="40% - Accent2 4 3 3" xfId="5395" xr:uid="{00000000-0005-0000-0000-0000E2040000}"/>
    <cellStyle name="40% - Accent2 4 3 3 2" xfId="13834" xr:uid="{C2349981-6A9D-4B11-ACEA-BC9B81630E33}"/>
    <cellStyle name="40% - Accent2 4 3 4" xfId="9616" xr:uid="{59CF653C-CC89-4493-8258-2B98CAAE5B37}"/>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ED9BB648-2FDD-43DE-AE35-A00644C836FC}"/>
    <cellStyle name="40% - Accent2 4 4 2 3" xfId="12174" xr:uid="{60810EE0-8CDB-4525-A89C-3C75BD554644}"/>
    <cellStyle name="40% - Accent2 4 4 3" xfId="5808" xr:uid="{00000000-0005-0000-0000-0000E6040000}"/>
    <cellStyle name="40% - Accent2 4 4 3 2" xfId="14247" xr:uid="{09E795ED-F9B8-46DC-9DCE-0AA0F4BC59B3}"/>
    <cellStyle name="40% - Accent2 4 4 4" xfId="10029" xr:uid="{4C64BE80-474B-49D7-98AF-5D78887D9738}"/>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B339F570-0EF5-469A-B0C1-04F9F3F1EC39}"/>
    <cellStyle name="40% - Accent2 4 5 2 3" xfId="12587" xr:uid="{3C843083-BB79-416E-A19F-0E2845FF382B}"/>
    <cellStyle name="40% - Accent2 4 5 3" xfId="6221" xr:uid="{00000000-0005-0000-0000-0000EA040000}"/>
    <cellStyle name="40% - Accent2 4 5 3 2" xfId="14660" xr:uid="{73B66156-18FB-497B-A655-7BB11D5722B6}"/>
    <cellStyle name="40% - Accent2 4 5 4" xfId="10442" xr:uid="{0781875A-4584-4D98-B6C4-98A31E4C15A2}"/>
    <cellStyle name="40% - Accent2 4 6" xfId="2327" xr:uid="{00000000-0005-0000-0000-0000EB040000}"/>
    <cellStyle name="40% - Accent2 4 6 2" xfId="6634" xr:uid="{00000000-0005-0000-0000-0000EC040000}"/>
    <cellStyle name="40% - Accent2 4 6 2 2" xfId="15073" xr:uid="{595DEFB9-BBDA-4AF3-B94A-A7E5F3F521ED}"/>
    <cellStyle name="40% - Accent2 4 6 3" xfId="10855" xr:uid="{BC309E13-74C5-4C92-A58C-90948AFE1509}"/>
    <cellStyle name="40% - Accent2 4 7" xfId="4568" xr:uid="{00000000-0005-0000-0000-0000ED040000}"/>
    <cellStyle name="40% - Accent2 4 7 2" xfId="13007" xr:uid="{AFC0204C-2C70-40CD-AD0E-EC6C35018C2B}"/>
    <cellStyle name="40% - Accent2 4 8" xfId="8789" xr:uid="{1461A5BF-63ED-4378-A3D2-F293284A3790}"/>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C1CE73CF-FFA6-4273-9D58-2E4D65E0D160}"/>
    <cellStyle name="40% - Accent2 5 2 3" xfId="11341" xr:uid="{8F45108A-CF41-4614-B075-5DF285FCCADA}"/>
    <cellStyle name="40% - Accent2 5 3" xfId="4975" xr:uid="{00000000-0005-0000-0000-0000F1040000}"/>
    <cellStyle name="40% - Accent2 5 3 2" xfId="13414" xr:uid="{DD1316DF-F67E-4ABC-AAA2-F45BDFEF58CA}"/>
    <cellStyle name="40% - Accent2 5 4" xfId="9196" xr:uid="{BE4F080B-5BF8-443B-AC27-9EDF35A94F91}"/>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5D5B14AA-4943-448A-99AD-BEA46C186BF5}"/>
    <cellStyle name="40% - Accent2 6 2 3" xfId="11754" xr:uid="{39867970-208B-425C-8844-51B92DEDDB78}"/>
    <cellStyle name="40% - Accent2 6 3" xfId="5388" xr:uid="{00000000-0005-0000-0000-0000F5040000}"/>
    <cellStyle name="40% - Accent2 6 3 2" xfId="13827" xr:uid="{272DFC09-E290-4308-859D-508E632A43AE}"/>
    <cellStyle name="40% - Accent2 6 4" xfId="9609" xr:uid="{D215D326-7BA3-44DB-AD54-7DC1B8459B16}"/>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8178E3AB-4CDC-4126-9516-B07B4D56796D}"/>
    <cellStyle name="40% - Accent2 7 2 3" xfId="12167" xr:uid="{2F52E4E7-3EC9-4D1E-9B13-CE57157832E1}"/>
    <cellStyle name="40% - Accent2 7 3" xfId="5801" xr:uid="{00000000-0005-0000-0000-0000F9040000}"/>
    <cellStyle name="40% - Accent2 7 3 2" xfId="14240" xr:uid="{0DCCEE21-3918-4009-AB49-70870F3E890D}"/>
    <cellStyle name="40% - Accent2 7 4" xfId="10022" xr:uid="{5E481948-54EE-4E72-82DE-2A851A3BC2DE}"/>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B9FA1736-F7BD-41B8-A065-C3DCF4C81DDF}"/>
    <cellStyle name="40% - Accent2 8 2 3" xfId="12580" xr:uid="{8C56D2FF-65EE-4C91-87C0-CB1C481FFF56}"/>
    <cellStyle name="40% - Accent2 8 3" xfId="6214" xr:uid="{00000000-0005-0000-0000-0000FD040000}"/>
    <cellStyle name="40% - Accent2 8 3 2" xfId="14653" xr:uid="{1F783A30-875E-4828-9B1C-71312C484141}"/>
    <cellStyle name="40% - Accent2 8 4" xfId="10435" xr:uid="{4A975625-6C33-447B-BE58-9E8ED0CAB719}"/>
    <cellStyle name="40% - Accent2 9" xfId="2320" xr:uid="{00000000-0005-0000-0000-0000FE040000}"/>
    <cellStyle name="40% - Accent2 9 2" xfId="6627" xr:uid="{00000000-0005-0000-0000-0000FF040000}"/>
    <cellStyle name="40% - Accent2 9 2 2" xfId="15066" xr:uid="{26397527-1ACA-4FDD-A4D7-E90128D6B85E}"/>
    <cellStyle name="40% - Accent2 9 3" xfId="10848" xr:uid="{556FC796-AF2E-4EC3-B38A-B669B4AE2DC5}"/>
    <cellStyle name="40% - Accent3" xfId="65" builtinId="39" customBuiltin="1"/>
    <cellStyle name="40% - Accent3 10" xfId="4569" xr:uid="{00000000-0005-0000-0000-000001050000}"/>
    <cellStyle name="40% - Accent3 10 2" xfId="13008" xr:uid="{D769607F-4316-475F-B4CB-A806624BD147}"/>
    <cellStyle name="40% - Accent3 11" xfId="8790" xr:uid="{4C0A5819-4D5E-4364-A05B-33FD7477C65D}"/>
    <cellStyle name="40% - Accent3 2" xfId="66" xr:uid="{00000000-0005-0000-0000-000002050000}"/>
    <cellStyle name="40% - Accent3 2 10" xfId="8791" xr:uid="{18F25840-0690-4A5C-8BD4-167EF0F79B5A}"/>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8FB38A26-E7D2-41A9-9DD3-7D724ACABFF8}"/>
    <cellStyle name="40% - Accent3 2 2 2 2 2 3" xfId="11352" xr:uid="{FCB92C42-24C7-49EB-9FB2-64F525B1DE8C}"/>
    <cellStyle name="40% - Accent3 2 2 2 2 3" xfId="4986" xr:uid="{00000000-0005-0000-0000-000008050000}"/>
    <cellStyle name="40% - Accent3 2 2 2 2 3 2" xfId="13425" xr:uid="{000C04CA-BDB1-4656-8783-8C376187EEC8}"/>
    <cellStyle name="40% - Accent3 2 2 2 2 4" xfId="9207" xr:uid="{3E0F4F9F-A80D-4167-86D1-A2933E5849BB}"/>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C887FEE0-9E1D-4756-ADBB-52CE481A6611}"/>
    <cellStyle name="40% - Accent3 2 2 2 3 2 3" xfId="11765" xr:uid="{47F819FC-157E-4872-91A0-4B1F32A8544A}"/>
    <cellStyle name="40% - Accent3 2 2 2 3 3" xfId="5399" xr:uid="{00000000-0005-0000-0000-00000C050000}"/>
    <cellStyle name="40% - Accent3 2 2 2 3 3 2" xfId="13838" xr:uid="{AB9BC73A-21B4-46B2-8F4D-1CD8EA6AEDF1}"/>
    <cellStyle name="40% - Accent3 2 2 2 3 4" xfId="9620" xr:uid="{755985BC-F434-42B5-8277-9111E5E50F88}"/>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D7EA8557-F953-444E-ADA6-8AA1091AE9C1}"/>
    <cellStyle name="40% - Accent3 2 2 2 4 2 3" xfId="12178" xr:uid="{BAAE0097-41C6-40C2-BA76-EB97A48101F9}"/>
    <cellStyle name="40% - Accent3 2 2 2 4 3" xfId="5812" xr:uid="{00000000-0005-0000-0000-000010050000}"/>
    <cellStyle name="40% - Accent3 2 2 2 4 3 2" xfId="14251" xr:uid="{B1448D9E-8ED8-4F6D-AFDA-43C64EAB8671}"/>
    <cellStyle name="40% - Accent3 2 2 2 4 4" xfId="10033" xr:uid="{F4391665-FC97-49F7-9F37-622CED917B04}"/>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6208BD52-4C7C-4C26-9139-364966296F20}"/>
    <cellStyle name="40% - Accent3 2 2 2 5 2 3" xfId="12591" xr:uid="{91F8F5F9-0AB0-4726-9423-B32785982190}"/>
    <cellStyle name="40% - Accent3 2 2 2 5 3" xfId="6225" xr:uid="{00000000-0005-0000-0000-000014050000}"/>
    <cellStyle name="40% - Accent3 2 2 2 5 3 2" xfId="14664" xr:uid="{199012A1-C032-480A-A90F-014DB96DED48}"/>
    <cellStyle name="40% - Accent3 2 2 2 5 4" xfId="10446" xr:uid="{B43FC285-0108-4F28-8A5D-D34E9D1A1B8A}"/>
    <cellStyle name="40% - Accent3 2 2 2 6" xfId="2331" xr:uid="{00000000-0005-0000-0000-000015050000}"/>
    <cellStyle name="40% - Accent3 2 2 2 6 2" xfId="6638" xr:uid="{00000000-0005-0000-0000-000016050000}"/>
    <cellStyle name="40% - Accent3 2 2 2 6 2 2" xfId="15077" xr:uid="{0CA104A7-816E-4946-AA28-BE27ACACF615}"/>
    <cellStyle name="40% - Accent3 2 2 2 6 3" xfId="10859" xr:uid="{63EAA723-79E1-4F9A-9EE8-2BD82A1FE2C1}"/>
    <cellStyle name="40% - Accent3 2 2 2 7" xfId="4572" xr:uid="{00000000-0005-0000-0000-000017050000}"/>
    <cellStyle name="40% - Accent3 2 2 2 7 2" xfId="13011" xr:uid="{051264E5-C814-45E5-8C5A-1CFB343031A3}"/>
    <cellStyle name="40% - Accent3 2 2 2 8" xfId="8793" xr:uid="{27253F64-029E-48FB-B30D-2F77662475F2}"/>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D20B26B6-83B5-45C6-A148-FC62136653A6}"/>
    <cellStyle name="40% - Accent3 2 2 3 2 3" xfId="11351" xr:uid="{850221F4-0488-48E0-9539-84FC663C1ECD}"/>
    <cellStyle name="40% - Accent3 2 2 3 3" xfId="4985" xr:uid="{00000000-0005-0000-0000-00001B050000}"/>
    <cellStyle name="40% - Accent3 2 2 3 3 2" xfId="13424" xr:uid="{649C4618-2F39-4DC6-BCF4-5E8DB4D40FF0}"/>
    <cellStyle name="40% - Accent3 2 2 3 4" xfId="9206" xr:uid="{A0F9F678-C9BA-428D-8E88-4AE0665CE2AE}"/>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D65993FB-AD08-41FE-A195-A7B2DA103C38}"/>
    <cellStyle name="40% - Accent3 2 2 4 2 3" xfId="11764" xr:uid="{96EB8939-278A-4A21-917A-D4409BA5A030}"/>
    <cellStyle name="40% - Accent3 2 2 4 3" xfId="5398" xr:uid="{00000000-0005-0000-0000-00001F050000}"/>
    <cellStyle name="40% - Accent3 2 2 4 3 2" xfId="13837" xr:uid="{D5962540-0E2B-4BD8-9804-2458582F2191}"/>
    <cellStyle name="40% - Accent3 2 2 4 4" xfId="9619" xr:uid="{C84C651C-D52E-48D7-9276-BA07DC12B28B}"/>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D336FFC1-45EC-4355-A1C8-AA7DAE4B80AF}"/>
    <cellStyle name="40% - Accent3 2 2 5 2 3" xfId="12177" xr:uid="{18CC91EE-D0A6-42AD-B74C-310FD9F19303}"/>
    <cellStyle name="40% - Accent3 2 2 5 3" xfId="5811" xr:uid="{00000000-0005-0000-0000-000023050000}"/>
    <cellStyle name="40% - Accent3 2 2 5 3 2" xfId="14250" xr:uid="{AA16907D-8BD0-4CC8-9CB4-D4B8C09B4006}"/>
    <cellStyle name="40% - Accent3 2 2 5 4" xfId="10032" xr:uid="{FFDB32E1-3A1A-455F-93EE-89216EBB056B}"/>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945D8961-05E5-48B7-8A54-41F3E912A778}"/>
    <cellStyle name="40% - Accent3 2 2 6 2 3" xfId="12590" xr:uid="{40A87C3D-39F7-465D-A2C8-0F094F15F36D}"/>
    <cellStyle name="40% - Accent3 2 2 6 3" xfId="6224" xr:uid="{00000000-0005-0000-0000-000027050000}"/>
    <cellStyle name="40% - Accent3 2 2 6 3 2" xfId="14663" xr:uid="{6278F1A7-F1E7-4903-A3F5-2D8B5450EB41}"/>
    <cellStyle name="40% - Accent3 2 2 6 4" xfId="10445" xr:uid="{D9EFDF59-CA71-45B9-BAD5-AEBE66221A3F}"/>
    <cellStyle name="40% - Accent3 2 2 7" xfId="2330" xr:uid="{00000000-0005-0000-0000-000028050000}"/>
    <cellStyle name="40% - Accent3 2 2 7 2" xfId="6637" xr:uid="{00000000-0005-0000-0000-000029050000}"/>
    <cellStyle name="40% - Accent3 2 2 7 2 2" xfId="15076" xr:uid="{3E1FADB3-3B0A-4816-882E-118AA7E78257}"/>
    <cellStyle name="40% - Accent3 2 2 7 3" xfId="10858" xr:uid="{1B692991-F799-43F6-83C4-E182B7C717A7}"/>
    <cellStyle name="40% - Accent3 2 2 8" xfId="4571" xr:uid="{00000000-0005-0000-0000-00002A050000}"/>
    <cellStyle name="40% - Accent3 2 2 8 2" xfId="13010" xr:uid="{A3DF6557-6E1B-4361-9882-775D593FE447}"/>
    <cellStyle name="40% - Accent3 2 2 9" xfId="8792" xr:uid="{DE521B08-E62D-49C3-9487-EFE973FCCC57}"/>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E4DEB0DC-CED3-44EB-B87A-8BEF27526123}"/>
    <cellStyle name="40% - Accent3 2 3 2 2 3" xfId="11353" xr:uid="{EB32474B-FB31-4F3B-850C-C37EBC45662C}"/>
    <cellStyle name="40% - Accent3 2 3 2 3" xfId="4987" xr:uid="{00000000-0005-0000-0000-00002F050000}"/>
    <cellStyle name="40% - Accent3 2 3 2 3 2" xfId="13426" xr:uid="{545E2CCD-C2FE-4472-AEB9-0A9CE373744B}"/>
    <cellStyle name="40% - Accent3 2 3 2 4" xfId="9208" xr:uid="{E8E5433A-6174-4DF3-BA37-C1F5E31EB8E5}"/>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F7BB3B18-0632-4FE4-A781-45FE2A572E5A}"/>
    <cellStyle name="40% - Accent3 2 3 3 2 3" xfId="11766" xr:uid="{26E4F1CB-C8B9-4640-8478-06CA914853C1}"/>
    <cellStyle name="40% - Accent3 2 3 3 3" xfId="5400" xr:uid="{00000000-0005-0000-0000-000033050000}"/>
    <cellStyle name="40% - Accent3 2 3 3 3 2" xfId="13839" xr:uid="{88D1DBE3-CC47-4A03-B346-779B70FD6577}"/>
    <cellStyle name="40% - Accent3 2 3 3 4" xfId="9621" xr:uid="{9642EB3C-18D5-41A7-820B-93FDC4B4F0C7}"/>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1CB20143-AF8C-4354-9AAE-70071145BD9D}"/>
    <cellStyle name="40% - Accent3 2 3 4 2 3" xfId="12179" xr:uid="{29B6625A-21B1-4DD0-936B-6A611B77BB5F}"/>
    <cellStyle name="40% - Accent3 2 3 4 3" xfId="5813" xr:uid="{00000000-0005-0000-0000-000037050000}"/>
    <cellStyle name="40% - Accent3 2 3 4 3 2" xfId="14252" xr:uid="{9DD83A7D-3866-49ED-8F5A-418FC9E1B502}"/>
    <cellStyle name="40% - Accent3 2 3 4 4" xfId="10034" xr:uid="{6F7CC629-49A0-4E1E-8D49-D217311490EE}"/>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F25E2ADB-A0C3-4E2D-9943-285D531CA2FE}"/>
    <cellStyle name="40% - Accent3 2 3 5 2 3" xfId="12592" xr:uid="{96AFCFB7-D991-44D0-9477-37734537BDE6}"/>
    <cellStyle name="40% - Accent3 2 3 5 3" xfId="6226" xr:uid="{00000000-0005-0000-0000-00003B050000}"/>
    <cellStyle name="40% - Accent3 2 3 5 3 2" xfId="14665" xr:uid="{9DFF533E-12D8-46D3-B4B6-5F4CE0004FA4}"/>
    <cellStyle name="40% - Accent3 2 3 5 4" xfId="10447" xr:uid="{8B6F2DDB-14F0-42F4-B0D7-6553DBE584BA}"/>
    <cellStyle name="40% - Accent3 2 3 6" xfId="2332" xr:uid="{00000000-0005-0000-0000-00003C050000}"/>
    <cellStyle name="40% - Accent3 2 3 6 2" xfId="6639" xr:uid="{00000000-0005-0000-0000-00003D050000}"/>
    <cellStyle name="40% - Accent3 2 3 6 2 2" xfId="15078" xr:uid="{91853838-8A1A-40ED-B550-BE7FE7EE3AE0}"/>
    <cellStyle name="40% - Accent3 2 3 6 3" xfId="10860" xr:uid="{3B0D4801-DEEE-409B-A704-CB359CBD2AEC}"/>
    <cellStyle name="40% - Accent3 2 3 7" xfId="4573" xr:uid="{00000000-0005-0000-0000-00003E050000}"/>
    <cellStyle name="40% - Accent3 2 3 7 2" xfId="13012" xr:uid="{D699E37F-FC46-40BE-AE9B-E5EF2AFD4323}"/>
    <cellStyle name="40% - Accent3 2 3 8" xfId="8794" xr:uid="{BFC9F632-C2B1-41BF-921C-F1484C8DD5E3}"/>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63F78245-5DBE-4F1F-97B0-E4B4274A3F7E}"/>
    <cellStyle name="40% - Accent3 2 4 2 3" xfId="11350" xr:uid="{9B0563B1-9C70-4B5F-936C-0A555C1DD758}"/>
    <cellStyle name="40% - Accent3 2 4 3" xfId="4984" xr:uid="{00000000-0005-0000-0000-000042050000}"/>
    <cellStyle name="40% - Accent3 2 4 3 2" xfId="13423" xr:uid="{C3C33221-2B29-4139-B835-752CB048F5A6}"/>
    <cellStyle name="40% - Accent3 2 4 4" xfId="9205" xr:uid="{BAE654A9-0E85-4FF8-AA7C-152890FA374C}"/>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2B1AAA25-4A8B-43B7-B617-3A75323C8218}"/>
    <cellStyle name="40% - Accent3 2 5 2 3" xfId="11763" xr:uid="{C0427E20-23C9-4889-A863-D8E73A19C992}"/>
    <cellStyle name="40% - Accent3 2 5 3" xfId="5397" xr:uid="{00000000-0005-0000-0000-000046050000}"/>
    <cellStyle name="40% - Accent3 2 5 3 2" xfId="13836" xr:uid="{07D40F3F-58F5-4916-91B2-46C7C66021ED}"/>
    <cellStyle name="40% - Accent3 2 5 4" xfId="9618" xr:uid="{6DF4CE40-F7F2-4373-BAC9-472333879731}"/>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A99EF7C3-113F-4EFA-BDF3-AD25FCB7FBC1}"/>
    <cellStyle name="40% - Accent3 2 6 2 3" xfId="12176" xr:uid="{BF82E94B-8AE2-4DFC-ADB6-D5CBCDF179E9}"/>
    <cellStyle name="40% - Accent3 2 6 3" xfId="5810" xr:uid="{00000000-0005-0000-0000-00004A050000}"/>
    <cellStyle name="40% - Accent3 2 6 3 2" xfId="14249" xr:uid="{7F60ADC2-13D3-427E-8160-EBE0A559EF2F}"/>
    <cellStyle name="40% - Accent3 2 6 4" xfId="10031" xr:uid="{B367C92A-5A9C-4B3E-A9EE-32C533D43903}"/>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30B28AF8-0154-4FA7-BD09-2CEB7053BE45}"/>
    <cellStyle name="40% - Accent3 2 7 2 3" xfId="12589" xr:uid="{09AB4FBD-90FB-4229-A547-F48D72A040FD}"/>
    <cellStyle name="40% - Accent3 2 7 3" xfId="6223" xr:uid="{00000000-0005-0000-0000-00004E050000}"/>
    <cellStyle name="40% - Accent3 2 7 3 2" xfId="14662" xr:uid="{743EA5F9-6E7E-478B-8BDE-A9D8CF294EF1}"/>
    <cellStyle name="40% - Accent3 2 7 4" xfId="10444" xr:uid="{7A492C3B-D2D0-48EC-9332-9D0E64630547}"/>
    <cellStyle name="40% - Accent3 2 8" xfId="2329" xr:uid="{00000000-0005-0000-0000-00004F050000}"/>
    <cellStyle name="40% - Accent3 2 8 2" xfId="6636" xr:uid="{00000000-0005-0000-0000-000050050000}"/>
    <cellStyle name="40% - Accent3 2 8 2 2" xfId="15075" xr:uid="{F77AA378-F1E4-46B7-A0DB-E3E3DDC9D305}"/>
    <cellStyle name="40% - Accent3 2 8 3" xfId="10857" xr:uid="{AAC27CA0-73BA-4336-AB0C-BC2D9AC6EE27}"/>
    <cellStyle name="40% - Accent3 2 9" xfId="4570" xr:uid="{00000000-0005-0000-0000-000051050000}"/>
    <cellStyle name="40% - Accent3 2 9 2" xfId="13009" xr:uid="{FDDD1B6A-BBBA-4991-B95B-C8F5AA3D9553}"/>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1EB4B051-7F50-4896-A7B7-9FFB437BE0C4}"/>
    <cellStyle name="40% - Accent3 3 2 2 2 3" xfId="11355" xr:uid="{BF73F67E-7251-4A4D-8446-8908A6470106}"/>
    <cellStyle name="40% - Accent3 3 2 2 3" xfId="4989" xr:uid="{00000000-0005-0000-0000-000057050000}"/>
    <cellStyle name="40% - Accent3 3 2 2 3 2" xfId="13428" xr:uid="{55179645-F4C3-4742-B761-992D76FA0E75}"/>
    <cellStyle name="40% - Accent3 3 2 2 4" xfId="9210" xr:uid="{F9F0EF3B-D33A-45EF-948D-E6E607353362}"/>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2922E7A0-C21B-46E5-BB7D-0FFC76158130}"/>
    <cellStyle name="40% - Accent3 3 2 3 2 3" xfId="11768" xr:uid="{5F4C8B17-DE57-4450-B112-2985CF655449}"/>
    <cellStyle name="40% - Accent3 3 2 3 3" xfId="5402" xr:uid="{00000000-0005-0000-0000-00005B050000}"/>
    <cellStyle name="40% - Accent3 3 2 3 3 2" xfId="13841" xr:uid="{A5967322-EC4C-4AB5-8904-070BDF31CEF9}"/>
    <cellStyle name="40% - Accent3 3 2 3 4" xfId="9623" xr:uid="{DE1E89E6-B8C8-4A04-A5B2-9F7E00FD05B2}"/>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68F8EAF8-5411-41C9-8309-33D7E17CF74F}"/>
    <cellStyle name="40% - Accent3 3 2 4 2 3" xfId="12181" xr:uid="{7D881E8A-8637-4804-8171-D951BC14A6D3}"/>
    <cellStyle name="40% - Accent3 3 2 4 3" xfId="5815" xr:uid="{00000000-0005-0000-0000-00005F050000}"/>
    <cellStyle name="40% - Accent3 3 2 4 3 2" xfId="14254" xr:uid="{DEA7DD70-DE3A-42FE-9355-139CB19E56A7}"/>
    <cellStyle name="40% - Accent3 3 2 4 4" xfId="10036" xr:uid="{02C9D0F3-E69E-48FC-A214-0A0A90887288}"/>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743F258B-69E7-43CD-B5D0-786F97C32EF7}"/>
    <cellStyle name="40% - Accent3 3 2 5 2 3" xfId="12594" xr:uid="{5A060FFD-1814-4552-99D0-963AD7A4403E}"/>
    <cellStyle name="40% - Accent3 3 2 5 3" xfId="6228" xr:uid="{00000000-0005-0000-0000-000063050000}"/>
    <cellStyle name="40% - Accent3 3 2 5 3 2" xfId="14667" xr:uid="{9E472DC8-95D7-4066-A6E4-94BADE5709B7}"/>
    <cellStyle name="40% - Accent3 3 2 5 4" xfId="10449" xr:uid="{6FFE92CB-92DF-48EB-BFEB-858BA6852538}"/>
    <cellStyle name="40% - Accent3 3 2 6" xfId="2334" xr:uid="{00000000-0005-0000-0000-000064050000}"/>
    <cellStyle name="40% - Accent3 3 2 6 2" xfId="6641" xr:uid="{00000000-0005-0000-0000-000065050000}"/>
    <cellStyle name="40% - Accent3 3 2 6 2 2" xfId="15080" xr:uid="{FF0952B8-B35E-4BF0-8261-71AFC037CBCD}"/>
    <cellStyle name="40% - Accent3 3 2 6 3" xfId="10862" xr:uid="{2DAA29DD-15C3-48EA-B02B-3661D4BFD841}"/>
    <cellStyle name="40% - Accent3 3 2 7" xfId="4575" xr:uid="{00000000-0005-0000-0000-000066050000}"/>
    <cellStyle name="40% - Accent3 3 2 7 2" xfId="13014" xr:uid="{B81E568E-D8F0-4959-8975-208987A40862}"/>
    <cellStyle name="40% - Accent3 3 2 8" xfId="8796" xr:uid="{F2880385-1402-4C9D-96EF-4A2083E2EC1C}"/>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50234548-6549-4A1F-9D40-E2525EF6534B}"/>
    <cellStyle name="40% - Accent3 3 3 2 3" xfId="11354" xr:uid="{1FD18396-C785-440D-964C-7D59C954BEC4}"/>
    <cellStyle name="40% - Accent3 3 3 3" xfId="4988" xr:uid="{00000000-0005-0000-0000-00006A050000}"/>
    <cellStyle name="40% - Accent3 3 3 3 2" xfId="13427" xr:uid="{4E5225AA-7F8E-42C5-A12E-7009F112B860}"/>
    <cellStyle name="40% - Accent3 3 3 4" xfId="9209" xr:uid="{C33A9FE3-3A59-40A3-BD41-9D9F26D17912}"/>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47915402-6111-420C-A53C-4A505596FDED}"/>
    <cellStyle name="40% - Accent3 3 4 2 3" xfId="11767" xr:uid="{91EC4B65-32E9-4556-8629-2149E7D803EB}"/>
    <cellStyle name="40% - Accent3 3 4 3" xfId="5401" xr:uid="{00000000-0005-0000-0000-00006E050000}"/>
    <cellStyle name="40% - Accent3 3 4 3 2" xfId="13840" xr:uid="{BCC4BD5D-607D-4403-BE3F-E4C438BC7556}"/>
    <cellStyle name="40% - Accent3 3 4 4" xfId="9622" xr:uid="{C8550C25-5624-4046-812C-175411EAE8F7}"/>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10DC7062-F9A0-4254-81C0-2A26AB00922E}"/>
    <cellStyle name="40% - Accent3 3 5 2 3" xfId="12180" xr:uid="{39159048-8F9A-40A9-BCB1-F5B357AE709A}"/>
    <cellStyle name="40% - Accent3 3 5 3" xfId="5814" xr:uid="{00000000-0005-0000-0000-000072050000}"/>
    <cellStyle name="40% - Accent3 3 5 3 2" xfId="14253" xr:uid="{102951FE-0E36-40E8-AF07-85A176A6CFB0}"/>
    <cellStyle name="40% - Accent3 3 5 4" xfId="10035" xr:uid="{BB0D57AF-20E5-449C-91A1-D4FB9E4E5A69}"/>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987120B0-1186-4EF3-8361-F10F5D1187D6}"/>
    <cellStyle name="40% - Accent3 3 6 2 3" xfId="12593" xr:uid="{8BD4E957-2AFF-4807-A85A-C25539913C37}"/>
    <cellStyle name="40% - Accent3 3 6 3" xfId="6227" xr:uid="{00000000-0005-0000-0000-000076050000}"/>
    <cellStyle name="40% - Accent3 3 6 3 2" xfId="14666" xr:uid="{3DBE5B71-9B50-4DF9-8FB3-ADEF2A4B8DA6}"/>
    <cellStyle name="40% - Accent3 3 6 4" xfId="10448" xr:uid="{D480D2D2-3AC7-4234-92C7-C1E1F119AEAA}"/>
    <cellStyle name="40% - Accent3 3 7" xfId="2333" xr:uid="{00000000-0005-0000-0000-000077050000}"/>
    <cellStyle name="40% - Accent3 3 7 2" xfId="6640" xr:uid="{00000000-0005-0000-0000-000078050000}"/>
    <cellStyle name="40% - Accent3 3 7 2 2" xfId="15079" xr:uid="{681166DB-6835-4A45-ADDD-25EC705FE3A4}"/>
    <cellStyle name="40% - Accent3 3 7 3" xfId="10861" xr:uid="{62A73AF2-2057-4D5F-86CF-06AAF09A1863}"/>
    <cellStyle name="40% - Accent3 3 8" xfId="4574" xr:uid="{00000000-0005-0000-0000-000079050000}"/>
    <cellStyle name="40% - Accent3 3 8 2" xfId="13013" xr:uid="{8BCF06C3-F657-4C7B-BF1A-AA4720EEE921}"/>
    <cellStyle name="40% - Accent3 3 9" xfId="8795" xr:uid="{D950D2D8-8DB4-4575-8205-696E11C156AB}"/>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90506250-CAFE-4327-8565-5F4D09F96923}"/>
    <cellStyle name="40% - Accent3 4 2 2 3" xfId="11356" xr:uid="{5B14B3D6-B755-4842-88F1-2B5288D769F6}"/>
    <cellStyle name="40% - Accent3 4 2 3" xfId="4990" xr:uid="{00000000-0005-0000-0000-00007E050000}"/>
    <cellStyle name="40% - Accent3 4 2 3 2" xfId="13429" xr:uid="{C5F08889-0932-46B2-A85D-48F0D9E4E87B}"/>
    <cellStyle name="40% - Accent3 4 2 4" xfId="9211" xr:uid="{C5A6ECC5-A5A2-43BE-BABC-AED43B4149A4}"/>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352B5EFA-A5DB-4979-A1B1-AF32D60C3D73}"/>
    <cellStyle name="40% - Accent3 4 3 2 3" xfId="11769" xr:uid="{43A63756-1112-4352-80F7-B36B78AE75B9}"/>
    <cellStyle name="40% - Accent3 4 3 3" xfId="5403" xr:uid="{00000000-0005-0000-0000-000082050000}"/>
    <cellStyle name="40% - Accent3 4 3 3 2" xfId="13842" xr:uid="{C9E679D4-3FED-4441-9F25-25ABC3625441}"/>
    <cellStyle name="40% - Accent3 4 3 4" xfId="9624" xr:uid="{7B566FAC-A9C1-4C3C-9E89-2962DB66759C}"/>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9ACDCF59-4A91-40AD-AD85-F7A493E00F37}"/>
    <cellStyle name="40% - Accent3 4 4 2 3" xfId="12182" xr:uid="{DB4CF7EE-70A2-40F3-AFFE-9949B910A06E}"/>
    <cellStyle name="40% - Accent3 4 4 3" xfId="5816" xr:uid="{00000000-0005-0000-0000-000086050000}"/>
    <cellStyle name="40% - Accent3 4 4 3 2" xfId="14255" xr:uid="{3D2175D4-5AD7-48ED-8A55-CB393891B5E7}"/>
    <cellStyle name="40% - Accent3 4 4 4" xfId="10037" xr:uid="{6ABDCBB0-BD0F-436F-8072-9D0057F1CFE7}"/>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7328A8C5-3FB9-4165-AB73-4B2A9C4BE6F5}"/>
    <cellStyle name="40% - Accent3 4 5 2 3" xfId="12595" xr:uid="{8DC0A4A8-81C5-4405-89B7-1C002785223E}"/>
    <cellStyle name="40% - Accent3 4 5 3" xfId="6229" xr:uid="{00000000-0005-0000-0000-00008A050000}"/>
    <cellStyle name="40% - Accent3 4 5 3 2" xfId="14668" xr:uid="{EE47E321-E161-4E74-AF13-56DD74BA6067}"/>
    <cellStyle name="40% - Accent3 4 5 4" xfId="10450" xr:uid="{A2FF9E21-00D4-4810-B191-2CB53BE300E7}"/>
    <cellStyle name="40% - Accent3 4 6" xfId="2335" xr:uid="{00000000-0005-0000-0000-00008B050000}"/>
    <cellStyle name="40% - Accent3 4 6 2" xfId="6642" xr:uid="{00000000-0005-0000-0000-00008C050000}"/>
    <cellStyle name="40% - Accent3 4 6 2 2" xfId="15081" xr:uid="{4E4FA5FD-813A-40C8-8BD9-3588D1CB9460}"/>
    <cellStyle name="40% - Accent3 4 6 3" xfId="10863" xr:uid="{1A900964-4B5D-47D3-906E-18FF3CBF74AB}"/>
    <cellStyle name="40% - Accent3 4 7" xfId="4576" xr:uid="{00000000-0005-0000-0000-00008D050000}"/>
    <cellStyle name="40% - Accent3 4 7 2" xfId="13015" xr:uid="{DD347CAC-F8FA-4F6F-B97D-492A996D1101}"/>
    <cellStyle name="40% - Accent3 4 8" xfId="8797" xr:uid="{634A87EA-72B9-47D5-8D7A-F955355EE9E4}"/>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528B3DC7-7163-496D-8271-BA1004A4B81C}"/>
    <cellStyle name="40% - Accent3 5 2 3" xfId="11349" xr:uid="{3B044A26-4E4E-42E4-93D6-998FC4921EDF}"/>
    <cellStyle name="40% - Accent3 5 3" xfId="4983" xr:uid="{00000000-0005-0000-0000-000091050000}"/>
    <cellStyle name="40% - Accent3 5 3 2" xfId="13422" xr:uid="{C73BCFAB-93D8-4F27-876B-3E2730C7915D}"/>
    <cellStyle name="40% - Accent3 5 4" xfId="9204" xr:uid="{4B6A5B1D-C92F-4BDB-82E8-A7BBC2D6ECE0}"/>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FF5A76F7-0F5A-4F4E-BC45-A50D47694C88}"/>
    <cellStyle name="40% - Accent3 6 2 3" xfId="11762" xr:uid="{DFC124D4-065A-478C-AF06-585CAD6D40B9}"/>
    <cellStyle name="40% - Accent3 6 3" xfId="5396" xr:uid="{00000000-0005-0000-0000-000095050000}"/>
    <cellStyle name="40% - Accent3 6 3 2" xfId="13835" xr:uid="{ACDC82CD-236F-42C4-B49D-1ACFCCC40254}"/>
    <cellStyle name="40% - Accent3 6 4" xfId="9617" xr:uid="{AA391315-D713-4901-B016-ED5DF9BBAACC}"/>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D0337BDB-A3AA-4830-BE36-3C4D41D644C3}"/>
    <cellStyle name="40% - Accent3 7 2 3" xfId="12175" xr:uid="{31797C64-59F7-4E29-9012-C13E0F8C5C1B}"/>
    <cellStyle name="40% - Accent3 7 3" xfId="5809" xr:uid="{00000000-0005-0000-0000-000099050000}"/>
    <cellStyle name="40% - Accent3 7 3 2" xfId="14248" xr:uid="{44EE8406-E90F-4BD9-8997-B4F7F83B11B0}"/>
    <cellStyle name="40% - Accent3 7 4" xfId="10030" xr:uid="{592D3CF1-6E56-45A1-ACE3-6E5B46292667}"/>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BCBFC782-4C36-4F20-82B5-81A1BF4E27F7}"/>
    <cellStyle name="40% - Accent3 8 2 3" xfId="12588" xr:uid="{06A90911-20B8-4EC1-8594-4948E07E228F}"/>
    <cellStyle name="40% - Accent3 8 3" xfId="6222" xr:uid="{00000000-0005-0000-0000-00009D050000}"/>
    <cellStyle name="40% - Accent3 8 3 2" xfId="14661" xr:uid="{2C552321-B197-4F57-B1CB-D48A4E6A0A5A}"/>
    <cellStyle name="40% - Accent3 8 4" xfId="10443" xr:uid="{DA839950-F7DF-430B-8CB1-E1EBCEBC92A8}"/>
    <cellStyle name="40% - Accent3 9" xfId="2328" xr:uid="{00000000-0005-0000-0000-00009E050000}"/>
    <cellStyle name="40% - Accent3 9 2" xfId="6635" xr:uid="{00000000-0005-0000-0000-00009F050000}"/>
    <cellStyle name="40% - Accent3 9 2 2" xfId="15074" xr:uid="{EF10919C-93C6-49AD-841C-70AF2A08E55E}"/>
    <cellStyle name="40% - Accent3 9 3" xfId="10856" xr:uid="{F898B5E3-DC5A-4211-814E-AE3CBC8886DB}"/>
    <cellStyle name="40% - Accent4" xfId="73" builtinId="43" customBuiltin="1"/>
    <cellStyle name="40% - Accent4 10" xfId="4577" xr:uid="{00000000-0005-0000-0000-0000A1050000}"/>
    <cellStyle name="40% - Accent4 10 2" xfId="13016" xr:uid="{60DCABC1-7D2F-4D44-B628-6438C48BBAE3}"/>
    <cellStyle name="40% - Accent4 11" xfId="8798" xr:uid="{5C796876-61E9-4F7C-B6E6-4CD9F0A9C3AF}"/>
    <cellStyle name="40% - Accent4 2" xfId="74" xr:uid="{00000000-0005-0000-0000-0000A2050000}"/>
    <cellStyle name="40% - Accent4 2 10" xfId="8799" xr:uid="{C33553EE-A030-4BC2-86BD-C86FC3035444}"/>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FB9DE057-2144-4604-8F61-4F78C3585C55}"/>
    <cellStyle name="40% - Accent4 2 2 2 2 2 3" xfId="11360" xr:uid="{8EFD0311-F6AA-481B-9F1B-EAC5A4B8C9E9}"/>
    <cellStyle name="40% - Accent4 2 2 2 2 3" xfId="4994" xr:uid="{00000000-0005-0000-0000-0000A8050000}"/>
    <cellStyle name="40% - Accent4 2 2 2 2 3 2" xfId="13433" xr:uid="{5159DE03-91F3-4216-9091-99CAE7CC9377}"/>
    <cellStyle name="40% - Accent4 2 2 2 2 4" xfId="9215" xr:uid="{DECA4671-00D1-47F5-93A0-A671FD139498}"/>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D22CD228-14EE-4AB1-9FE7-ADF8A7829932}"/>
    <cellStyle name="40% - Accent4 2 2 2 3 2 3" xfId="11773" xr:uid="{5D0338D6-3C5F-4653-8947-A8F2339E46C2}"/>
    <cellStyle name="40% - Accent4 2 2 2 3 3" xfId="5407" xr:uid="{00000000-0005-0000-0000-0000AC050000}"/>
    <cellStyle name="40% - Accent4 2 2 2 3 3 2" xfId="13846" xr:uid="{813BE529-D3E4-4D0D-9C41-395E20AB3B6E}"/>
    <cellStyle name="40% - Accent4 2 2 2 3 4" xfId="9628" xr:uid="{915E5A4C-B895-40D3-9B90-B9DF3FF70446}"/>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BEA11B2A-0A3F-4619-9B9D-A246CAD2E3CC}"/>
    <cellStyle name="40% - Accent4 2 2 2 4 2 3" xfId="12186" xr:uid="{CFB42359-B916-4282-8CBA-834FE8CFAB5C}"/>
    <cellStyle name="40% - Accent4 2 2 2 4 3" xfId="5820" xr:uid="{00000000-0005-0000-0000-0000B0050000}"/>
    <cellStyle name="40% - Accent4 2 2 2 4 3 2" xfId="14259" xr:uid="{6234AC6F-5978-4A67-8FC0-C7A43BC843B9}"/>
    <cellStyle name="40% - Accent4 2 2 2 4 4" xfId="10041" xr:uid="{4B7ACEE1-9242-47D8-8E79-BE54D8E1108F}"/>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9BF17665-9F4D-4D45-8AFA-C4B626D69B50}"/>
    <cellStyle name="40% - Accent4 2 2 2 5 2 3" xfId="12599" xr:uid="{B79FAD88-0B09-462C-A417-2D97CD181A6D}"/>
    <cellStyle name="40% - Accent4 2 2 2 5 3" xfId="6233" xr:uid="{00000000-0005-0000-0000-0000B4050000}"/>
    <cellStyle name="40% - Accent4 2 2 2 5 3 2" xfId="14672" xr:uid="{B6F4A1D6-6FDB-4BCE-8F83-B787F2FDF533}"/>
    <cellStyle name="40% - Accent4 2 2 2 5 4" xfId="10454" xr:uid="{73A3D419-D127-418D-93CF-AD3A906245F6}"/>
    <cellStyle name="40% - Accent4 2 2 2 6" xfId="2339" xr:uid="{00000000-0005-0000-0000-0000B5050000}"/>
    <cellStyle name="40% - Accent4 2 2 2 6 2" xfId="6646" xr:uid="{00000000-0005-0000-0000-0000B6050000}"/>
    <cellStyle name="40% - Accent4 2 2 2 6 2 2" xfId="15085" xr:uid="{A595797D-F56F-46E0-AED9-E9E5DE747676}"/>
    <cellStyle name="40% - Accent4 2 2 2 6 3" xfId="10867" xr:uid="{D16F49E0-C65D-4A4B-BA16-085BE6159799}"/>
    <cellStyle name="40% - Accent4 2 2 2 7" xfId="4580" xr:uid="{00000000-0005-0000-0000-0000B7050000}"/>
    <cellStyle name="40% - Accent4 2 2 2 7 2" xfId="13019" xr:uid="{7EEF6BF0-B997-452E-AD6C-C4A538645BC7}"/>
    <cellStyle name="40% - Accent4 2 2 2 8" xfId="8801" xr:uid="{EBDA7EE2-EAA9-4E46-B9EF-183A8BC17683}"/>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ECE6113C-0F96-4572-8EDF-52A9D1E27D7F}"/>
    <cellStyle name="40% - Accent4 2 2 3 2 3" xfId="11359" xr:uid="{5DDF4F51-3E6B-459D-ABCC-FAC25581C1FC}"/>
    <cellStyle name="40% - Accent4 2 2 3 3" xfId="4993" xr:uid="{00000000-0005-0000-0000-0000BB050000}"/>
    <cellStyle name="40% - Accent4 2 2 3 3 2" xfId="13432" xr:uid="{21E7A48E-2C54-44F7-8024-B99FA7701F2E}"/>
    <cellStyle name="40% - Accent4 2 2 3 4" xfId="9214" xr:uid="{379A5D02-0837-4163-841C-35B302D00163}"/>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29EA37D9-5044-477F-9661-2867B204964C}"/>
    <cellStyle name="40% - Accent4 2 2 4 2 3" xfId="11772" xr:uid="{D2FAF1AA-FA34-4500-AC6A-EA1EC46A52C5}"/>
    <cellStyle name="40% - Accent4 2 2 4 3" xfId="5406" xr:uid="{00000000-0005-0000-0000-0000BF050000}"/>
    <cellStyle name="40% - Accent4 2 2 4 3 2" xfId="13845" xr:uid="{8008C35A-51CD-4745-A132-3C942745ED71}"/>
    <cellStyle name="40% - Accent4 2 2 4 4" xfId="9627" xr:uid="{BE7C2DB5-D9CD-48E2-9400-332ADCC7FAB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DE5BB4FB-BAA7-4197-99DC-C933A9ABC8FA}"/>
    <cellStyle name="40% - Accent4 2 2 5 2 3" xfId="12185" xr:uid="{8B33ED46-1FF4-4611-B4BB-3DA92C5E33A3}"/>
    <cellStyle name="40% - Accent4 2 2 5 3" xfId="5819" xr:uid="{00000000-0005-0000-0000-0000C3050000}"/>
    <cellStyle name="40% - Accent4 2 2 5 3 2" xfId="14258" xr:uid="{1783666B-61C5-4855-987D-6E778610D8B1}"/>
    <cellStyle name="40% - Accent4 2 2 5 4" xfId="10040" xr:uid="{E0D3F380-3E46-470F-BFF3-529549C66544}"/>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C0BDEC00-73E9-4424-921E-A5B4818C4114}"/>
    <cellStyle name="40% - Accent4 2 2 6 2 3" xfId="12598" xr:uid="{EAB1777E-7983-4A57-8792-4F68BE2099BF}"/>
    <cellStyle name="40% - Accent4 2 2 6 3" xfId="6232" xr:uid="{00000000-0005-0000-0000-0000C7050000}"/>
    <cellStyle name="40% - Accent4 2 2 6 3 2" xfId="14671" xr:uid="{33A124A4-BEF2-49CE-8547-416D6233C95B}"/>
    <cellStyle name="40% - Accent4 2 2 6 4" xfId="10453" xr:uid="{EC72A244-9B2B-45A3-B6DE-EF89B0F1F4AF}"/>
    <cellStyle name="40% - Accent4 2 2 7" xfId="2338" xr:uid="{00000000-0005-0000-0000-0000C8050000}"/>
    <cellStyle name="40% - Accent4 2 2 7 2" xfId="6645" xr:uid="{00000000-0005-0000-0000-0000C9050000}"/>
    <cellStyle name="40% - Accent4 2 2 7 2 2" xfId="15084" xr:uid="{F8765E77-C085-4D8B-AF03-65AABCA57BFC}"/>
    <cellStyle name="40% - Accent4 2 2 7 3" xfId="10866" xr:uid="{803AF993-E52F-4E4F-B686-FE4663E84FE1}"/>
    <cellStyle name="40% - Accent4 2 2 8" xfId="4579" xr:uid="{00000000-0005-0000-0000-0000CA050000}"/>
    <cellStyle name="40% - Accent4 2 2 8 2" xfId="13018" xr:uid="{1DAEB540-C187-46A8-8472-73AADF7672C2}"/>
    <cellStyle name="40% - Accent4 2 2 9" xfId="8800" xr:uid="{572D37B0-694C-48CF-A014-D084260CD0C1}"/>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2667ECCC-4AB4-494C-9D4E-771760FF96C4}"/>
    <cellStyle name="40% - Accent4 2 3 2 2 3" xfId="11361" xr:uid="{B0248602-CE01-4E64-8497-702BC17D5E3B}"/>
    <cellStyle name="40% - Accent4 2 3 2 3" xfId="4995" xr:uid="{00000000-0005-0000-0000-0000CF050000}"/>
    <cellStyle name="40% - Accent4 2 3 2 3 2" xfId="13434" xr:uid="{B1D0BDB4-58E6-496F-95F6-CEFBBF5A52A1}"/>
    <cellStyle name="40% - Accent4 2 3 2 4" xfId="9216" xr:uid="{E3356471-D423-4ABB-9D3B-8551C0E686C1}"/>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70E5D6B9-43B4-4289-A2E5-22D61A556864}"/>
    <cellStyle name="40% - Accent4 2 3 3 2 3" xfId="11774" xr:uid="{6E799D3B-A440-4AAE-A6F5-F7066E164F1F}"/>
    <cellStyle name="40% - Accent4 2 3 3 3" xfId="5408" xr:uid="{00000000-0005-0000-0000-0000D3050000}"/>
    <cellStyle name="40% - Accent4 2 3 3 3 2" xfId="13847" xr:uid="{80D5FF24-4CE0-42F6-8C6E-4A2C5DF64AFC}"/>
    <cellStyle name="40% - Accent4 2 3 3 4" xfId="9629" xr:uid="{E557FEF8-4D35-4B15-BDCC-4084DFE11411}"/>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618DC480-5276-4A8C-8896-2684F45F13D2}"/>
    <cellStyle name="40% - Accent4 2 3 4 2 3" xfId="12187" xr:uid="{097DA3AE-48E2-481D-AADF-5E3E0D204C23}"/>
    <cellStyle name="40% - Accent4 2 3 4 3" xfId="5821" xr:uid="{00000000-0005-0000-0000-0000D7050000}"/>
    <cellStyle name="40% - Accent4 2 3 4 3 2" xfId="14260" xr:uid="{8A701514-D5E6-45B9-9B70-2149D5075781}"/>
    <cellStyle name="40% - Accent4 2 3 4 4" xfId="10042" xr:uid="{1D25B3FC-1263-4E14-B0F5-B29A3EE16888}"/>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9F9F0CA8-F58C-4A5E-B611-6F23F5B45DDF}"/>
    <cellStyle name="40% - Accent4 2 3 5 2 3" xfId="12600" xr:uid="{90381FB3-A321-4FF6-B1B4-B24DA102D0FF}"/>
    <cellStyle name="40% - Accent4 2 3 5 3" xfId="6234" xr:uid="{00000000-0005-0000-0000-0000DB050000}"/>
    <cellStyle name="40% - Accent4 2 3 5 3 2" xfId="14673" xr:uid="{8D161577-0E95-4C7A-B07F-DBB2B23584D1}"/>
    <cellStyle name="40% - Accent4 2 3 5 4" xfId="10455" xr:uid="{08A6B523-5826-4B5D-9105-953BE8FA6FE6}"/>
    <cellStyle name="40% - Accent4 2 3 6" xfId="2340" xr:uid="{00000000-0005-0000-0000-0000DC050000}"/>
    <cellStyle name="40% - Accent4 2 3 6 2" xfId="6647" xr:uid="{00000000-0005-0000-0000-0000DD050000}"/>
    <cellStyle name="40% - Accent4 2 3 6 2 2" xfId="15086" xr:uid="{2D4710B5-A35D-4009-AE8C-72EABEB8C1E2}"/>
    <cellStyle name="40% - Accent4 2 3 6 3" xfId="10868" xr:uid="{5A7CD574-B3EE-4503-8342-7E913EC350EF}"/>
    <cellStyle name="40% - Accent4 2 3 7" xfId="4581" xr:uid="{00000000-0005-0000-0000-0000DE050000}"/>
    <cellStyle name="40% - Accent4 2 3 7 2" xfId="13020" xr:uid="{869176E1-0007-460D-9B56-829A6C00837A}"/>
    <cellStyle name="40% - Accent4 2 3 8" xfId="8802" xr:uid="{EE6F658F-C65C-47A4-8204-0246726EDDFF}"/>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948D037E-69E7-4F27-89B9-8E4A8E156B59}"/>
    <cellStyle name="40% - Accent4 2 4 2 3" xfId="11358" xr:uid="{B030AC3A-2349-4773-A9FE-C64B584E3B86}"/>
    <cellStyle name="40% - Accent4 2 4 3" xfId="4992" xr:uid="{00000000-0005-0000-0000-0000E2050000}"/>
    <cellStyle name="40% - Accent4 2 4 3 2" xfId="13431" xr:uid="{0FFAEB51-F57B-44E4-AFF4-B1DD3F8814F4}"/>
    <cellStyle name="40% - Accent4 2 4 4" xfId="9213" xr:uid="{173DDC63-A1E3-4D5C-B279-056B612769AB}"/>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64B49665-813A-4AF1-9FE3-B5882D25C6E0}"/>
    <cellStyle name="40% - Accent4 2 5 2 3" xfId="11771" xr:uid="{F8F9BB5E-C9F9-4BE4-9E21-3B7BD7204734}"/>
    <cellStyle name="40% - Accent4 2 5 3" xfId="5405" xr:uid="{00000000-0005-0000-0000-0000E6050000}"/>
    <cellStyle name="40% - Accent4 2 5 3 2" xfId="13844" xr:uid="{3BFF2143-CC1B-4A31-892D-1D922F52D2D9}"/>
    <cellStyle name="40% - Accent4 2 5 4" xfId="9626" xr:uid="{6AB826F7-1F64-4C6A-BD29-12A469669B49}"/>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F6572947-C86A-4086-8064-DBE38D989EA0}"/>
    <cellStyle name="40% - Accent4 2 6 2 3" xfId="12184" xr:uid="{9868BE2B-FD1D-4B64-B21A-025A97B86D6D}"/>
    <cellStyle name="40% - Accent4 2 6 3" xfId="5818" xr:uid="{00000000-0005-0000-0000-0000EA050000}"/>
    <cellStyle name="40% - Accent4 2 6 3 2" xfId="14257" xr:uid="{E8CAB445-2E3C-42DA-8059-20BBD0DC350C}"/>
    <cellStyle name="40% - Accent4 2 6 4" xfId="10039" xr:uid="{EC0DA1DA-9944-409E-B3A0-092A6C0B1C05}"/>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873DC47F-6A37-4ACA-BE38-FCCC793C3CF5}"/>
    <cellStyle name="40% - Accent4 2 7 2 3" xfId="12597" xr:uid="{DC3D250C-8575-4D3F-BCB6-3C09382EB9B4}"/>
    <cellStyle name="40% - Accent4 2 7 3" xfId="6231" xr:uid="{00000000-0005-0000-0000-0000EE050000}"/>
    <cellStyle name="40% - Accent4 2 7 3 2" xfId="14670" xr:uid="{3749BFC8-1896-445B-BCC9-6B1C986B44D5}"/>
    <cellStyle name="40% - Accent4 2 7 4" xfId="10452" xr:uid="{09341BD3-61E8-4C28-92E2-5276ABCE6AB4}"/>
    <cellStyle name="40% - Accent4 2 8" xfId="2337" xr:uid="{00000000-0005-0000-0000-0000EF050000}"/>
    <cellStyle name="40% - Accent4 2 8 2" xfId="6644" xr:uid="{00000000-0005-0000-0000-0000F0050000}"/>
    <cellStyle name="40% - Accent4 2 8 2 2" xfId="15083" xr:uid="{EE85C1F9-8C80-452B-A45B-CCAFC85442E8}"/>
    <cellStyle name="40% - Accent4 2 8 3" xfId="10865" xr:uid="{F84BCCA1-BABF-4715-B8B6-0A7A1955D156}"/>
    <cellStyle name="40% - Accent4 2 9" xfId="4578" xr:uid="{00000000-0005-0000-0000-0000F1050000}"/>
    <cellStyle name="40% - Accent4 2 9 2" xfId="13017" xr:uid="{BEB19764-FA2B-4779-8034-9233D528EA67}"/>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1FB66A5F-62AD-4F5C-A9D7-5EC590A36477}"/>
    <cellStyle name="40% - Accent4 3 2 2 2 3" xfId="11363" xr:uid="{649C46E4-D748-4CF3-9F74-71F8CE7CF741}"/>
    <cellStyle name="40% - Accent4 3 2 2 3" xfId="4997" xr:uid="{00000000-0005-0000-0000-0000F7050000}"/>
    <cellStyle name="40% - Accent4 3 2 2 3 2" xfId="13436" xr:uid="{D2671122-356A-4504-9C18-E6EA799D8412}"/>
    <cellStyle name="40% - Accent4 3 2 2 4" xfId="9218" xr:uid="{F407D2A8-09E3-49C6-AA4D-DD806E08B78F}"/>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84D5DF92-F9AA-4F83-A497-AB04E9042DA8}"/>
    <cellStyle name="40% - Accent4 3 2 3 2 3" xfId="11776" xr:uid="{250C79EF-D1C6-450D-93F0-C70C66D0C741}"/>
    <cellStyle name="40% - Accent4 3 2 3 3" xfId="5410" xr:uid="{00000000-0005-0000-0000-0000FB050000}"/>
    <cellStyle name="40% - Accent4 3 2 3 3 2" xfId="13849" xr:uid="{63C25B1E-AA45-4F4B-9075-1E959799781A}"/>
    <cellStyle name="40% - Accent4 3 2 3 4" xfId="9631" xr:uid="{3007CC1F-E0BF-423A-8126-929509582E91}"/>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45F264A7-B212-4256-80DE-91C2C394901B}"/>
    <cellStyle name="40% - Accent4 3 2 4 2 3" xfId="12189" xr:uid="{C9F2C739-A530-45BD-A7B9-3CD03798BF85}"/>
    <cellStyle name="40% - Accent4 3 2 4 3" xfId="5823" xr:uid="{00000000-0005-0000-0000-0000FF050000}"/>
    <cellStyle name="40% - Accent4 3 2 4 3 2" xfId="14262" xr:uid="{D9BFB5C2-DE52-46D2-BF90-5563CE3046EB}"/>
    <cellStyle name="40% - Accent4 3 2 4 4" xfId="10044" xr:uid="{6461B653-E8AB-4A03-9B0F-B6870B28CE5F}"/>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6034CE0E-2A82-4274-AF9A-501BBEDD7CA1}"/>
    <cellStyle name="40% - Accent4 3 2 5 2 3" xfId="12602" xr:uid="{1D3F4C7E-9ECF-446F-91B9-0586A213F06B}"/>
    <cellStyle name="40% - Accent4 3 2 5 3" xfId="6236" xr:uid="{00000000-0005-0000-0000-000003060000}"/>
    <cellStyle name="40% - Accent4 3 2 5 3 2" xfId="14675" xr:uid="{882D5BDE-D609-4029-A3DF-AD3E12B641B8}"/>
    <cellStyle name="40% - Accent4 3 2 5 4" xfId="10457" xr:uid="{385F345C-AED0-4674-B15D-0423517285A1}"/>
    <cellStyle name="40% - Accent4 3 2 6" xfId="2342" xr:uid="{00000000-0005-0000-0000-000004060000}"/>
    <cellStyle name="40% - Accent4 3 2 6 2" xfId="6649" xr:uid="{00000000-0005-0000-0000-000005060000}"/>
    <cellStyle name="40% - Accent4 3 2 6 2 2" xfId="15088" xr:uid="{52D051AF-6521-466C-AAAE-A1AB23597532}"/>
    <cellStyle name="40% - Accent4 3 2 6 3" xfId="10870" xr:uid="{48764314-F1D4-4CC5-ABB7-60E591A01D4C}"/>
    <cellStyle name="40% - Accent4 3 2 7" xfId="4583" xr:uid="{00000000-0005-0000-0000-000006060000}"/>
    <cellStyle name="40% - Accent4 3 2 7 2" xfId="13022" xr:uid="{D55BC3E6-38B4-4311-9A5B-AFDBB10AD325}"/>
    <cellStyle name="40% - Accent4 3 2 8" xfId="8804" xr:uid="{1E3532AB-9BB9-46A8-970F-84D36E7684EE}"/>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8D03866D-2C16-4877-94C5-44F437F84534}"/>
    <cellStyle name="40% - Accent4 3 3 2 3" xfId="11362" xr:uid="{ED4703DA-7486-4626-9A8B-4B101CCF04A3}"/>
    <cellStyle name="40% - Accent4 3 3 3" xfId="4996" xr:uid="{00000000-0005-0000-0000-00000A060000}"/>
    <cellStyle name="40% - Accent4 3 3 3 2" xfId="13435" xr:uid="{B126DE5C-4CC3-44AE-A2B9-0D4B9DEB9D57}"/>
    <cellStyle name="40% - Accent4 3 3 4" xfId="9217" xr:uid="{18CB2748-C5CE-457F-A2EA-C17E9F70AE67}"/>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E2395500-2728-4331-B8AF-29C248A48759}"/>
    <cellStyle name="40% - Accent4 3 4 2 3" xfId="11775" xr:uid="{2855D234-0CD1-4234-8DD0-A0E3BEF322E9}"/>
    <cellStyle name="40% - Accent4 3 4 3" xfId="5409" xr:uid="{00000000-0005-0000-0000-00000E060000}"/>
    <cellStyle name="40% - Accent4 3 4 3 2" xfId="13848" xr:uid="{0931DACC-C036-429D-9F67-9A7C43E66C56}"/>
    <cellStyle name="40% - Accent4 3 4 4" xfId="9630" xr:uid="{36D5CF56-4785-44E3-804C-13665C4F404B}"/>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D0B60782-2DE7-49FF-9DC9-53962D80D160}"/>
    <cellStyle name="40% - Accent4 3 5 2 3" xfId="12188" xr:uid="{39D0268B-D803-455A-A991-22B2F601264D}"/>
    <cellStyle name="40% - Accent4 3 5 3" xfId="5822" xr:uid="{00000000-0005-0000-0000-000012060000}"/>
    <cellStyle name="40% - Accent4 3 5 3 2" xfId="14261" xr:uid="{0CFE67F8-9385-4044-8EED-C39BA6E41441}"/>
    <cellStyle name="40% - Accent4 3 5 4" xfId="10043" xr:uid="{0ED2E015-5E3E-468C-866C-F69FD58E6C74}"/>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36AD7BE3-3F99-41E6-A1E3-9D4410E0AEDE}"/>
    <cellStyle name="40% - Accent4 3 6 2 3" xfId="12601" xr:uid="{ED0989AB-1B70-4D37-A808-73CB45CBE4AA}"/>
    <cellStyle name="40% - Accent4 3 6 3" xfId="6235" xr:uid="{00000000-0005-0000-0000-000016060000}"/>
    <cellStyle name="40% - Accent4 3 6 3 2" xfId="14674" xr:uid="{D0F5B1EC-33CF-4BAC-8088-2F23C894D26D}"/>
    <cellStyle name="40% - Accent4 3 6 4" xfId="10456" xr:uid="{CFE397DA-2418-47FA-90F5-7033BE0D4876}"/>
    <cellStyle name="40% - Accent4 3 7" xfId="2341" xr:uid="{00000000-0005-0000-0000-000017060000}"/>
    <cellStyle name="40% - Accent4 3 7 2" xfId="6648" xr:uid="{00000000-0005-0000-0000-000018060000}"/>
    <cellStyle name="40% - Accent4 3 7 2 2" xfId="15087" xr:uid="{46CD9ADF-C309-41E5-9B80-2FF2898C7504}"/>
    <cellStyle name="40% - Accent4 3 7 3" xfId="10869" xr:uid="{C7399971-0396-4AD8-A6B3-71A94D742F8E}"/>
    <cellStyle name="40% - Accent4 3 8" xfId="4582" xr:uid="{00000000-0005-0000-0000-000019060000}"/>
    <cellStyle name="40% - Accent4 3 8 2" xfId="13021" xr:uid="{9F61AA4E-C101-4640-95D7-42A9477000E3}"/>
    <cellStyle name="40% - Accent4 3 9" xfId="8803" xr:uid="{682748AB-BCFB-45FD-9124-8E5FDB5E5654}"/>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867334C4-12A3-4BD2-905B-238433478EF5}"/>
    <cellStyle name="40% - Accent4 4 2 2 3" xfId="11364" xr:uid="{8F90C19E-27DD-4561-A050-861B50A4489E}"/>
    <cellStyle name="40% - Accent4 4 2 3" xfId="4998" xr:uid="{00000000-0005-0000-0000-00001E060000}"/>
    <cellStyle name="40% - Accent4 4 2 3 2" xfId="13437" xr:uid="{B13FBFBD-A789-4C26-A0C3-D18B59B75EC0}"/>
    <cellStyle name="40% - Accent4 4 2 4" xfId="9219" xr:uid="{6DE88762-E9C9-4B08-87E8-008352B4DD82}"/>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5E663F00-A131-41B0-A773-A00795E31131}"/>
    <cellStyle name="40% - Accent4 4 3 2 3" xfId="11777" xr:uid="{A07D5C2D-CA8C-48FC-8B91-BECEC72410B7}"/>
    <cellStyle name="40% - Accent4 4 3 3" xfId="5411" xr:uid="{00000000-0005-0000-0000-000022060000}"/>
    <cellStyle name="40% - Accent4 4 3 3 2" xfId="13850" xr:uid="{71CF4398-2176-481B-976C-BA809E5E3AD1}"/>
    <cellStyle name="40% - Accent4 4 3 4" xfId="9632" xr:uid="{A6EDB079-B98A-46EB-9D32-BC8E520E9F05}"/>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07AFA118-636B-469B-9FF4-1A8C917D481F}"/>
    <cellStyle name="40% - Accent4 4 4 2 3" xfId="12190" xr:uid="{5C217C19-3DA3-44F9-B434-8FC7A43E591E}"/>
    <cellStyle name="40% - Accent4 4 4 3" xfId="5824" xr:uid="{00000000-0005-0000-0000-000026060000}"/>
    <cellStyle name="40% - Accent4 4 4 3 2" xfId="14263" xr:uid="{B6FA4312-D48C-46A9-BFD2-66A60A016AF3}"/>
    <cellStyle name="40% - Accent4 4 4 4" xfId="10045" xr:uid="{C9E99D75-B4D7-4366-A9FD-E9F907F270D4}"/>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9F8C74DF-4EF2-43F8-8506-B4FDCE1AC200}"/>
    <cellStyle name="40% - Accent4 4 5 2 3" xfId="12603" xr:uid="{A32344EB-CF14-47E1-ABED-B17C9A439D48}"/>
    <cellStyle name="40% - Accent4 4 5 3" xfId="6237" xr:uid="{00000000-0005-0000-0000-00002A060000}"/>
    <cellStyle name="40% - Accent4 4 5 3 2" xfId="14676" xr:uid="{699680FA-918B-4E71-92A6-13B3C875740D}"/>
    <cellStyle name="40% - Accent4 4 5 4" xfId="10458" xr:uid="{F19BE47F-5945-431F-ADBD-936488095001}"/>
    <cellStyle name="40% - Accent4 4 6" xfId="2343" xr:uid="{00000000-0005-0000-0000-00002B060000}"/>
    <cellStyle name="40% - Accent4 4 6 2" xfId="6650" xr:uid="{00000000-0005-0000-0000-00002C060000}"/>
    <cellStyle name="40% - Accent4 4 6 2 2" xfId="15089" xr:uid="{A70C3ACA-51A8-4A69-A840-29BAD57F3C5D}"/>
    <cellStyle name="40% - Accent4 4 6 3" xfId="10871" xr:uid="{6543890C-DAD6-4322-9893-BE0E1648DCDD}"/>
    <cellStyle name="40% - Accent4 4 7" xfId="4584" xr:uid="{00000000-0005-0000-0000-00002D060000}"/>
    <cellStyle name="40% - Accent4 4 7 2" xfId="13023" xr:uid="{288F3C59-A845-4599-84EE-4E4F7F6D4AE3}"/>
    <cellStyle name="40% - Accent4 4 8" xfId="8805" xr:uid="{44566A3D-FA05-4BC6-A4AB-3DD607659E62}"/>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EDD1AC05-48CC-4399-943F-FD86ED35B4EE}"/>
    <cellStyle name="40% - Accent4 5 2 3" xfId="11357" xr:uid="{78C18A5A-7CFD-4DBE-BC84-3B48CD402E17}"/>
    <cellStyle name="40% - Accent4 5 3" xfId="4991" xr:uid="{00000000-0005-0000-0000-000031060000}"/>
    <cellStyle name="40% - Accent4 5 3 2" xfId="13430" xr:uid="{93068AF4-A5D5-44B3-9CF6-AB3BF300DE7E}"/>
    <cellStyle name="40% - Accent4 5 4" xfId="9212" xr:uid="{94E60246-94C9-4D75-8A82-58E06E4A2744}"/>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22ACB144-B14A-4451-8C9C-F246001238E5}"/>
    <cellStyle name="40% - Accent4 6 2 3" xfId="11770" xr:uid="{C78577F2-BDC0-433E-A2CC-86CBB9047038}"/>
    <cellStyle name="40% - Accent4 6 3" xfId="5404" xr:uid="{00000000-0005-0000-0000-000035060000}"/>
    <cellStyle name="40% - Accent4 6 3 2" xfId="13843" xr:uid="{E9EF2E1A-ED0B-4E94-AFB9-7AFF07918D20}"/>
    <cellStyle name="40% - Accent4 6 4" xfId="9625" xr:uid="{11966C8B-C82F-436F-9171-054996491D25}"/>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3BDBA030-366C-4FEE-89AA-22FC022FC45E}"/>
    <cellStyle name="40% - Accent4 7 2 3" xfId="12183" xr:uid="{2871DC4A-200D-48DD-839B-97D7AEBC0C35}"/>
    <cellStyle name="40% - Accent4 7 3" xfId="5817" xr:uid="{00000000-0005-0000-0000-000039060000}"/>
    <cellStyle name="40% - Accent4 7 3 2" xfId="14256" xr:uid="{4421B819-DE70-4653-9969-C2327042C6A6}"/>
    <cellStyle name="40% - Accent4 7 4" xfId="10038" xr:uid="{DDED9BA9-4C4D-43E3-B9AB-449C343B898A}"/>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0160BB16-D8C3-491A-8C08-D0A19E847865}"/>
    <cellStyle name="40% - Accent4 8 2 3" xfId="12596" xr:uid="{540B2A2B-C47F-4291-9BFD-3F27FC95B6E2}"/>
    <cellStyle name="40% - Accent4 8 3" xfId="6230" xr:uid="{00000000-0005-0000-0000-00003D060000}"/>
    <cellStyle name="40% - Accent4 8 3 2" xfId="14669" xr:uid="{B62FD34A-17E8-4608-8C78-F810825CAC56}"/>
    <cellStyle name="40% - Accent4 8 4" xfId="10451" xr:uid="{D5EA47A3-D92D-4032-AA6A-FC0DB82FF981}"/>
    <cellStyle name="40% - Accent4 9" xfId="2336" xr:uid="{00000000-0005-0000-0000-00003E060000}"/>
    <cellStyle name="40% - Accent4 9 2" xfId="6643" xr:uid="{00000000-0005-0000-0000-00003F060000}"/>
    <cellStyle name="40% - Accent4 9 2 2" xfId="15082" xr:uid="{D92A7C06-AB61-4A2D-8624-39ABB066C4BC}"/>
    <cellStyle name="40% - Accent4 9 3" xfId="10864" xr:uid="{7FF0776D-F6D0-4323-AB5A-0DF713A0902F}"/>
    <cellStyle name="40% - Accent5" xfId="81" builtinId="47" customBuiltin="1"/>
    <cellStyle name="40% - Accent5 10" xfId="4585" xr:uid="{00000000-0005-0000-0000-000041060000}"/>
    <cellStyle name="40% - Accent5 10 2" xfId="13024" xr:uid="{6E86A88B-E2A5-43B0-8F76-4EB885FE9579}"/>
    <cellStyle name="40% - Accent5 11" xfId="8806" xr:uid="{8A607335-069D-467D-9D56-302D80AA4D7B}"/>
    <cellStyle name="40% - Accent5 2" xfId="82" xr:uid="{00000000-0005-0000-0000-000042060000}"/>
    <cellStyle name="40% - Accent5 2 10" xfId="8807" xr:uid="{A5E0D032-D52B-4F5A-9BFB-F017A62EE831}"/>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1AB9286E-37E1-45BA-8EF2-87798B1069D2}"/>
    <cellStyle name="40% - Accent5 2 2 2 2 2 3" xfId="11368" xr:uid="{FB0BCC69-AEA1-43A1-989C-10E6CD81248B}"/>
    <cellStyle name="40% - Accent5 2 2 2 2 3" xfId="5002" xr:uid="{00000000-0005-0000-0000-000048060000}"/>
    <cellStyle name="40% - Accent5 2 2 2 2 3 2" xfId="13441" xr:uid="{BA0DF977-B927-4604-B961-3BD54E76CF76}"/>
    <cellStyle name="40% - Accent5 2 2 2 2 4" xfId="9223" xr:uid="{B15AF15A-FA5D-4224-9AA3-D2232E4F1518}"/>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49EE04F5-1D70-4E04-B517-3F26A28B4E2C}"/>
    <cellStyle name="40% - Accent5 2 2 2 3 2 3" xfId="11781" xr:uid="{ABECC114-94BC-4492-9993-512FC633319F}"/>
    <cellStyle name="40% - Accent5 2 2 2 3 3" xfId="5415" xr:uid="{00000000-0005-0000-0000-00004C060000}"/>
    <cellStyle name="40% - Accent5 2 2 2 3 3 2" xfId="13854" xr:uid="{1FEDABBA-D59C-452E-9CDD-4C96F7775F09}"/>
    <cellStyle name="40% - Accent5 2 2 2 3 4" xfId="9636" xr:uid="{3CD92255-DF9E-4D1C-9821-B760C5ABA49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216EB96E-98EE-46EF-8626-F48FC4F999EF}"/>
    <cellStyle name="40% - Accent5 2 2 2 4 2 3" xfId="12194" xr:uid="{163EA45A-2B2A-47A9-BE71-09ABEA9A693D}"/>
    <cellStyle name="40% - Accent5 2 2 2 4 3" xfId="5828" xr:uid="{00000000-0005-0000-0000-000050060000}"/>
    <cellStyle name="40% - Accent5 2 2 2 4 3 2" xfId="14267" xr:uid="{862DD2C8-2DC6-4AE1-8B79-931896F7D29B}"/>
    <cellStyle name="40% - Accent5 2 2 2 4 4" xfId="10049" xr:uid="{72DFCFBD-8EA3-4A8D-9269-4AA81F611F56}"/>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DFC86BF9-4E3F-4FD2-85FB-F710A6A2DDA8}"/>
    <cellStyle name="40% - Accent5 2 2 2 5 2 3" xfId="12607" xr:uid="{EC028DA3-578F-4D9A-906C-EBD2E68FAD9F}"/>
    <cellStyle name="40% - Accent5 2 2 2 5 3" xfId="6241" xr:uid="{00000000-0005-0000-0000-000054060000}"/>
    <cellStyle name="40% - Accent5 2 2 2 5 3 2" xfId="14680" xr:uid="{CD893368-6AA6-45A4-8F04-C4C3828A8E46}"/>
    <cellStyle name="40% - Accent5 2 2 2 5 4" xfId="10462" xr:uid="{905D92D1-116E-4368-A0B1-4E95A71DC9F3}"/>
    <cellStyle name="40% - Accent5 2 2 2 6" xfId="2347" xr:uid="{00000000-0005-0000-0000-000055060000}"/>
    <cellStyle name="40% - Accent5 2 2 2 6 2" xfId="6654" xr:uid="{00000000-0005-0000-0000-000056060000}"/>
    <cellStyle name="40% - Accent5 2 2 2 6 2 2" xfId="15093" xr:uid="{D1F5EDFA-8DFC-42B4-A8DC-7D4830B514F7}"/>
    <cellStyle name="40% - Accent5 2 2 2 6 3" xfId="10875" xr:uid="{C57A7C66-CB53-46E2-84DD-A6142D66AB94}"/>
    <cellStyle name="40% - Accent5 2 2 2 7" xfId="4588" xr:uid="{00000000-0005-0000-0000-000057060000}"/>
    <cellStyle name="40% - Accent5 2 2 2 7 2" xfId="13027" xr:uid="{30649385-90C6-4029-83AA-B900D89AC526}"/>
    <cellStyle name="40% - Accent5 2 2 2 8" xfId="8809" xr:uid="{6FB4CB84-A063-4FE1-AA02-17A44DBA19DB}"/>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D5AF96D5-A48B-400B-95E8-53E32F7E619C}"/>
    <cellStyle name="40% - Accent5 2 2 3 2 3" xfId="11367" xr:uid="{53245F25-6513-4844-BA26-26D18CD4F2E4}"/>
    <cellStyle name="40% - Accent5 2 2 3 3" xfId="5001" xr:uid="{00000000-0005-0000-0000-00005B060000}"/>
    <cellStyle name="40% - Accent5 2 2 3 3 2" xfId="13440" xr:uid="{F2E09C05-129D-4626-9F5E-AE9C8027F202}"/>
    <cellStyle name="40% - Accent5 2 2 3 4" xfId="9222" xr:uid="{EA6F6674-A7A1-4380-BAA6-C33A20F7D024}"/>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67E62425-47C6-4B18-AB01-22C09242FEE4}"/>
    <cellStyle name="40% - Accent5 2 2 4 2 3" xfId="11780" xr:uid="{F398DE43-9FFB-4EF1-B56D-AF15333099F2}"/>
    <cellStyle name="40% - Accent5 2 2 4 3" xfId="5414" xr:uid="{00000000-0005-0000-0000-00005F060000}"/>
    <cellStyle name="40% - Accent5 2 2 4 3 2" xfId="13853" xr:uid="{09134C2E-8C82-4BCE-8D4F-3A0FF5598FB3}"/>
    <cellStyle name="40% - Accent5 2 2 4 4" xfId="9635" xr:uid="{98A71381-5038-49A5-8119-C295BBD9F113}"/>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8ADC8153-F2D7-4FFB-9012-04D36AA941E9}"/>
    <cellStyle name="40% - Accent5 2 2 5 2 3" xfId="12193" xr:uid="{9F575820-A925-4E51-AFA4-C29C14871214}"/>
    <cellStyle name="40% - Accent5 2 2 5 3" xfId="5827" xr:uid="{00000000-0005-0000-0000-000063060000}"/>
    <cellStyle name="40% - Accent5 2 2 5 3 2" xfId="14266" xr:uid="{1A39BC77-8664-4428-A801-83189D5F1E03}"/>
    <cellStyle name="40% - Accent5 2 2 5 4" xfId="10048" xr:uid="{A48D1A16-1FFD-4A41-9438-ED60A3F2B259}"/>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CB01F155-C2CD-4444-996A-0B00D7747A76}"/>
    <cellStyle name="40% - Accent5 2 2 6 2 3" xfId="12606" xr:uid="{491470D0-DC00-45BE-A5D3-F343BDE876F7}"/>
    <cellStyle name="40% - Accent5 2 2 6 3" xfId="6240" xr:uid="{00000000-0005-0000-0000-000067060000}"/>
    <cellStyle name="40% - Accent5 2 2 6 3 2" xfId="14679" xr:uid="{94AD72DF-AFFB-4A43-963F-44D91897D90C}"/>
    <cellStyle name="40% - Accent5 2 2 6 4" xfId="10461" xr:uid="{15048FF5-7CB3-4B0F-A666-FA1CC890B62F}"/>
    <cellStyle name="40% - Accent5 2 2 7" xfId="2346" xr:uid="{00000000-0005-0000-0000-000068060000}"/>
    <cellStyle name="40% - Accent5 2 2 7 2" xfId="6653" xr:uid="{00000000-0005-0000-0000-000069060000}"/>
    <cellStyle name="40% - Accent5 2 2 7 2 2" xfId="15092" xr:uid="{E3525C6C-AAC4-4C13-AD3F-757C7C31D79D}"/>
    <cellStyle name="40% - Accent5 2 2 7 3" xfId="10874" xr:uid="{526C52DF-4C9D-4AB2-9542-935075C8159C}"/>
    <cellStyle name="40% - Accent5 2 2 8" xfId="4587" xr:uid="{00000000-0005-0000-0000-00006A060000}"/>
    <cellStyle name="40% - Accent5 2 2 8 2" xfId="13026" xr:uid="{B1963B8A-40AE-4503-A6C0-16F8A179B32A}"/>
    <cellStyle name="40% - Accent5 2 2 9" xfId="8808" xr:uid="{458CA115-778C-4A72-9724-3F172D58B246}"/>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FFF46CFC-3F82-4C43-973A-22090AB9AFD8}"/>
    <cellStyle name="40% - Accent5 2 3 2 2 3" xfId="11369" xr:uid="{D0E65F15-37C7-45B0-8191-D42F6A0EE182}"/>
    <cellStyle name="40% - Accent5 2 3 2 3" xfId="5003" xr:uid="{00000000-0005-0000-0000-00006F060000}"/>
    <cellStyle name="40% - Accent5 2 3 2 3 2" xfId="13442" xr:uid="{47268B71-8CC8-461C-A1AE-0580C33271FE}"/>
    <cellStyle name="40% - Accent5 2 3 2 4" xfId="9224" xr:uid="{5F1E7945-C3A3-4043-B55F-7E9DA44A895C}"/>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093B6B10-005A-463B-A78C-3D455CD49ACE}"/>
    <cellStyle name="40% - Accent5 2 3 3 2 3" xfId="11782" xr:uid="{14235691-C66A-479D-84A4-4E7AB5A3A234}"/>
    <cellStyle name="40% - Accent5 2 3 3 3" xfId="5416" xr:uid="{00000000-0005-0000-0000-000073060000}"/>
    <cellStyle name="40% - Accent5 2 3 3 3 2" xfId="13855" xr:uid="{F68993DF-EBA1-46EA-888E-2D0C8FD1D53A}"/>
    <cellStyle name="40% - Accent5 2 3 3 4" xfId="9637" xr:uid="{5C816B51-5938-4136-810F-5334D9BE32F0}"/>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69D9EC68-09FD-47F3-BFFC-1BF46CA2B8F4}"/>
    <cellStyle name="40% - Accent5 2 3 4 2 3" xfId="12195" xr:uid="{4351167D-20DE-4B2F-8942-2BF6D844E593}"/>
    <cellStyle name="40% - Accent5 2 3 4 3" xfId="5829" xr:uid="{00000000-0005-0000-0000-000077060000}"/>
    <cellStyle name="40% - Accent5 2 3 4 3 2" xfId="14268" xr:uid="{57299F20-B7E0-49B2-A364-309AF8C93F19}"/>
    <cellStyle name="40% - Accent5 2 3 4 4" xfId="10050" xr:uid="{7C3BBF99-DFA2-4C88-B23E-16C11F4AC461}"/>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5754AB6C-3D68-4B72-A8B4-4D8ADC50D698}"/>
    <cellStyle name="40% - Accent5 2 3 5 2 3" xfId="12608" xr:uid="{0AA48E83-4DBE-4FAA-A0F0-2B9365B5913A}"/>
    <cellStyle name="40% - Accent5 2 3 5 3" xfId="6242" xr:uid="{00000000-0005-0000-0000-00007B060000}"/>
    <cellStyle name="40% - Accent5 2 3 5 3 2" xfId="14681" xr:uid="{2CFB209D-B49F-4E75-9D43-2F8B94A178C9}"/>
    <cellStyle name="40% - Accent5 2 3 5 4" xfId="10463" xr:uid="{A47BFC0C-650D-4163-ADE4-BFE03A1A6795}"/>
    <cellStyle name="40% - Accent5 2 3 6" xfId="2348" xr:uid="{00000000-0005-0000-0000-00007C060000}"/>
    <cellStyle name="40% - Accent5 2 3 6 2" xfId="6655" xr:uid="{00000000-0005-0000-0000-00007D060000}"/>
    <cellStyle name="40% - Accent5 2 3 6 2 2" xfId="15094" xr:uid="{E8F425B9-178A-48AA-A480-A512CA37C1B5}"/>
    <cellStyle name="40% - Accent5 2 3 6 3" xfId="10876" xr:uid="{4B509863-1966-4C5F-8156-3C26D16EA01E}"/>
    <cellStyle name="40% - Accent5 2 3 7" xfId="4589" xr:uid="{00000000-0005-0000-0000-00007E060000}"/>
    <cellStyle name="40% - Accent5 2 3 7 2" xfId="13028" xr:uid="{2EFBF620-6681-4287-92B2-CF9F74426D6D}"/>
    <cellStyle name="40% - Accent5 2 3 8" xfId="8810" xr:uid="{E65CACB8-36B7-490D-95A0-F45F856EFAF0}"/>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D5BC03AC-2C3A-43AC-ABFE-89D88BB2DCD4}"/>
    <cellStyle name="40% - Accent5 2 4 2 3" xfId="11366" xr:uid="{1C0055A1-607B-4D15-98D5-6FB1A857647D}"/>
    <cellStyle name="40% - Accent5 2 4 3" xfId="5000" xr:uid="{00000000-0005-0000-0000-000082060000}"/>
    <cellStyle name="40% - Accent5 2 4 3 2" xfId="13439" xr:uid="{640418C5-808A-4F5B-BCD5-5FB80EA6B071}"/>
    <cellStyle name="40% - Accent5 2 4 4" xfId="9221" xr:uid="{FC08BB7E-227D-478C-9F42-98DBBA8DB2B3}"/>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3074568D-49CE-4A85-9AB4-68EDA6F7F270}"/>
    <cellStyle name="40% - Accent5 2 5 2 3" xfId="11779" xr:uid="{B623182D-EE76-436B-A727-F1E8F2B9DA98}"/>
    <cellStyle name="40% - Accent5 2 5 3" xfId="5413" xr:uid="{00000000-0005-0000-0000-000086060000}"/>
    <cellStyle name="40% - Accent5 2 5 3 2" xfId="13852" xr:uid="{375D318C-193F-4068-83DF-2E7ACD35887D}"/>
    <cellStyle name="40% - Accent5 2 5 4" xfId="9634" xr:uid="{7CDFDCBC-3AB7-4893-99F0-C02275D762D0}"/>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1486B382-BFFC-4334-A2BF-581BA53E5978}"/>
    <cellStyle name="40% - Accent5 2 6 2 3" xfId="12192" xr:uid="{424C0596-5938-46D8-9E66-AD7D65ABF394}"/>
    <cellStyle name="40% - Accent5 2 6 3" xfId="5826" xr:uid="{00000000-0005-0000-0000-00008A060000}"/>
    <cellStyle name="40% - Accent5 2 6 3 2" xfId="14265" xr:uid="{141DB72F-CB5E-45EF-8171-046BE4721B97}"/>
    <cellStyle name="40% - Accent5 2 6 4" xfId="10047" xr:uid="{883EB4D7-9E8B-4A3B-B162-F742CA5932F3}"/>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88E838CD-F85E-458C-8AC8-4F5C00EFC19C}"/>
    <cellStyle name="40% - Accent5 2 7 2 3" xfId="12605" xr:uid="{C4079C74-5DEA-49B3-9193-71BEB523BA32}"/>
    <cellStyle name="40% - Accent5 2 7 3" xfId="6239" xr:uid="{00000000-0005-0000-0000-00008E060000}"/>
    <cellStyle name="40% - Accent5 2 7 3 2" xfId="14678" xr:uid="{4E081432-6D05-421B-9AFB-E588DC21430D}"/>
    <cellStyle name="40% - Accent5 2 7 4" xfId="10460" xr:uid="{4AF06336-DD12-47D8-B951-C49E79905208}"/>
    <cellStyle name="40% - Accent5 2 8" xfId="2345" xr:uid="{00000000-0005-0000-0000-00008F060000}"/>
    <cellStyle name="40% - Accent5 2 8 2" xfId="6652" xr:uid="{00000000-0005-0000-0000-000090060000}"/>
    <cellStyle name="40% - Accent5 2 8 2 2" xfId="15091" xr:uid="{EE902BA2-9C5E-453B-AD4B-A40BD58F14D3}"/>
    <cellStyle name="40% - Accent5 2 8 3" xfId="10873" xr:uid="{0ACDC136-1B33-43DF-BF21-722AEF7F43A6}"/>
    <cellStyle name="40% - Accent5 2 9" xfId="4586" xr:uid="{00000000-0005-0000-0000-000091060000}"/>
    <cellStyle name="40% - Accent5 2 9 2" xfId="13025" xr:uid="{EA674FCD-77B5-4323-9993-00D6230442B9}"/>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5C4DD4FA-D985-4EE3-ACBA-BAE8CD844E67}"/>
    <cellStyle name="40% - Accent5 3 2 2 2 3" xfId="11371" xr:uid="{2A5A6CE9-FE81-45C9-BBE9-9D760FBC188B}"/>
    <cellStyle name="40% - Accent5 3 2 2 3" xfId="5005" xr:uid="{00000000-0005-0000-0000-000097060000}"/>
    <cellStyle name="40% - Accent5 3 2 2 3 2" xfId="13444" xr:uid="{16BA767D-6F84-4322-BF8B-4D9A8BDB96C2}"/>
    <cellStyle name="40% - Accent5 3 2 2 4" xfId="9226" xr:uid="{DF0C7C74-9312-4E33-B4CB-7A26B7C60B90}"/>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04970142-2515-4412-9268-36080552CCC3}"/>
    <cellStyle name="40% - Accent5 3 2 3 2 3" xfId="11784" xr:uid="{9602BF40-2D85-4514-BFC0-CF431544B14A}"/>
    <cellStyle name="40% - Accent5 3 2 3 3" xfId="5418" xr:uid="{00000000-0005-0000-0000-00009B060000}"/>
    <cellStyle name="40% - Accent5 3 2 3 3 2" xfId="13857" xr:uid="{51FE92B5-0B00-4E26-BE64-FA2B4DAAF8F7}"/>
    <cellStyle name="40% - Accent5 3 2 3 4" xfId="9639" xr:uid="{B271D789-DE33-4CAF-8607-AEE766465495}"/>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3F7E0CF4-E28F-4D91-A38B-340F5699F83A}"/>
    <cellStyle name="40% - Accent5 3 2 4 2 3" xfId="12197" xr:uid="{26A0BAC3-50EE-4637-94E0-429668D35A00}"/>
    <cellStyle name="40% - Accent5 3 2 4 3" xfId="5831" xr:uid="{00000000-0005-0000-0000-00009F060000}"/>
    <cellStyle name="40% - Accent5 3 2 4 3 2" xfId="14270" xr:uid="{B608E551-F7A4-40A6-84C2-732B6ECA0F8F}"/>
    <cellStyle name="40% - Accent5 3 2 4 4" xfId="10052" xr:uid="{69AEE260-669D-4AB4-9244-732FBCB45026}"/>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939155BF-7C48-4586-AD75-611AB37DF9F2}"/>
    <cellStyle name="40% - Accent5 3 2 5 2 3" xfId="12610" xr:uid="{680CD9F6-EEEA-49E0-BCD3-C6ED74E5469E}"/>
    <cellStyle name="40% - Accent5 3 2 5 3" xfId="6244" xr:uid="{00000000-0005-0000-0000-0000A3060000}"/>
    <cellStyle name="40% - Accent5 3 2 5 3 2" xfId="14683" xr:uid="{148B64AE-37EE-4009-B71B-4F3F7F2AB8F1}"/>
    <cellStyle name="40% - Accent5 3 2 5 4" xfId="10465" xr:uid="{6A350F23-FC11-4FBD-8070-D3C796518648}"/>
    <cellStyle name="40% - Accent5 3 2 6" xfId="2350" xr:uid="{00000000-0005-0000-0000-0000A4060000}"/>
    <cellStyle name="40% - Accent5 3 2 6 2" xfId="6657" xr:uid="{00000000-0005-0000-0000-0000A5060000}"/>
    <cellStyle name="40% - Accent5 3 2 6 2 2" xfId="15096" xr:uid="{1A0FA49B-06E5-4793-B2C6-53F4805D8C59}"/>
    <cellStyle name="40% - Accent5 3 2 6 3" xfId="10878" xr:uid="{AB2D064E-C8E9-4DAC-805A-76CB39DAC0D5}"/>
    <cellStyle name="40% - Accent5 3 2 7" xfId="4591" xr:uid="{00000000-0005-0000-0000-0000A6060000}"/>
    <cellStyle name="40% - Accent5 3 2 7 2" xfId="13030" xr:uid="{6839D1CA-4A6C-4EEF-99F8-56DE777F5CFF}"/>
    <cellStyle name="40% - Accent5 3 2 8" xfId="8812" xr:uid="{0F198A21-84F5-4E7B-ACCB-FD16F525D55E}"/>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DDCFEB24-2D57-4DE8-9E9C-CDF6B297A999}"/>
    <cellStyle name="40% - Accent5 3 3 2 3" xfId="11370" xr:uid="{81F5425A-87CB-4E32-9D42-0DB1DED75775}"/>
    <cellStyle name="40% - Accent5 3 3 3" xfId="5004" xr:uid="{00000000-0005-0000-0000-0000AA060000}"/>
    <cellStyle name="40% - Accent5 3 3 3 2" xfId="13443" xr:uid="{B9A017C1-085F-49B3-90F3-935DD57BF998}"/>
    <cellStyle name="40% - Accent5 3 3 4" xfId="9225" xr:uid="{48213658-6971-4EC5-A051-BEB21C4211F6}"/>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667C0FA7-127C-4314-9D5B-DBD5273FEDA6}"/>
    <cellStyle name="40% - Accent5 3 4 2 3" xfId="11783" xr:uid="{649B59C8-5051-4462-9046-898E8A457EBE}"/>
    <cellStyle name="40% - Accent5 3 4 3" xfId="5417" xr:uid="{00000000-0005-0000-0000-0000AE060000}"/>
    <cellStyle name="40% - Accent5 3 4 3 2" xfId="13856" xr:uid="{EDB9B075-2F88-41CB-B5F1-E752ED3763A5}"/>
    <cellStyle name="40% - Accent5 3 4 4" xfId="9638" xr:uid="{4FF06136-21E8-4A85-A808-3D6F0AD27899}"/>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D492CAE8-126A-4523-A62D-E3FA9DB15125}"/>
    <cellStyle name="40% - Accent5 3 5 2 3" xfId="12196" xr:uid="{6AE44891-47A0-499D-997F-B3BE51129862}"/>
    <cellStyle name="40% - Accent5 3 5 3" xfId="5830" xr:uid="{00000000-0005-0000-0000-0000B2060000}"/>
    <cellStyle name="40% - Accent5 3 5 3 2" xfId="14269" xr:uid="{50D6E5FA-B40B-44C4-82E5-12D5347FCDE9}"/>
    <cellStyle name="40% - Accent5 3 5 4" xfId="10051" xr:uid="{E535F364-4A3C-4994-AF84-41B93BA9A182}"/>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52812B2E-88CC-447D-BB33-571C24910BA3}"/>
    <cellStyle name="40% - Accent5 3 6 2 3" xfId="12609" xr:uid="{839784B6-685A-4B49-A7D7-CC7D3A83D7F9}"/>
    <cellStyle name="40% - Accent5 3 6 3" xfId="6243" xr:uid="{00000000-0005-0000-0000-0000B6060000}"/>
    <cellStyle name="40% - Accent5 3 6 3 2" xfId="14682" xr:uid="{082BAFD5-BF69-4CE8-B4B4-703C24628466}"/>
    <cellStyle name="40% - Accent5 3 6 4" xfId="10464" xr:uid="{28ACAC59-AEB0-4ED2-9106-8F93DF44D53B}"/>
    <cellStyle name="40% - Accent5 3 7" xfId="2349" xr:uid="{00000000-0005-0000-0000-0000B7060000}"/>
    <cellStyle name="40% - Accent5 3 7 2" xfId="6656" xr:uid="{00000000-0005-0000-0000-0000B8060000}"/>
    <cellStyle name="40% - Accent5 3 7 2 2" xfId="15095" xr:uid="{5B185E88-7FB9-492B-A44E-FF62669307B5}"/>
    <cellStyle name="40% - Accent5 3 7 3" xfId="10877" xr:uid="{29F4A6E1-F83A-4640-BC85-8B95F5979E77}"/>
    <cellStyle name="40% - Accent5 3 8" xfId="4590" xr:uid="{00000000-0005-0000-0000-0000B9060000}"/>
    <cellStyle name="40% - Accent5 3 8 2" xfId="13029" xr:uid="{C682FEB0-F972-4AF8-B253-FB0F1B381AC7}"/>
    <cellStyle name="40% - Accent5 3 9" xfId="8811" xr:uid="{F8B63C0D-2F95-461F-ADFD-394D041A8978}"/>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68CB4D44-0D40-40B9-BF76-E7574529ECF5}"/>
    <cellStyle name="40% - Accent5 4 2 2 3" xfId="11372" xr:uid="{25157D4F-588D-4C52-8DE4-67AA429CA89D}"/>
    <cellStyle name="40% - Accent5 4 2 3" xfId="5006" xr:uid="{00000000-0005-0000-0000-0000BE060000}"/>
    <cellStyle name="40% - Accent5 4 2 3 2" xfId="13445" xr:uid="{B3025388-D8BD-479D-8A92-41CD9A6BFDDD}"/>
    <cellStyle name="40% - Accent5 4 2 4" xfId="9227" xr:uid="{E1837699-C273-4437-B50C-12216EA56F9D}"/>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FFD623BE-A9BE-4A74-9799-AB9EBA9BCDD8}"/>
    <cellStyle name="40% - Accent5 4 3 2 3" xfId="11785" xr:uid="{CD2F9D1D-44FE-4F6B-A430-E682D6862E41}"/>
    <cellStyle name="40% - Accent5 4 3 3" xfId="5419" xr:uid="{00000000-0005-0000-0000-0000C2060000}"/>
    <cellStyle name="40% - Accent5 4 3 3 2" xfId="13858" xr:uid="{C8B46AA4-D94F-4105-8829-7263CE60F94E}"/>
    <cellStyle name="40% - Accent5 4 3 4" xfId="9640" xr:uid="{FCA299B9-5B82-4E14-B44A-3EB0F76363AE}"/>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717055D2-125B-4846-A1B0-5A5C4A4D22E4}"/>
    <cellStyle name="40% - Accent5 4 4 2 3" xfId="12198" xr:uid="{F4781E1C-FF46-4B4C-9655-D742007F94D0}"/>
    <cellStyle name="40% - Accent5 4 4 3" xfId="5832" xr:uid="{00000000-0005-0000-0000-0000C6060000}"/>
    <cellStyle name="40% - Accent5 4 4 3 2" xfId="14271" xr:uid="{5694CD67-AEDD-49B3-BA28-B9DD264DB235}"/>
    <cellStyle name="40% - Accent5 4 4 4" xfId="10053" xr:uid="{0E8EE812-CCAB-454F-8032-AA386902471A}"/>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53E40243-9FB9-40BA-BC5D-1B1A65215950}"/>
    <cellStyle name="40% - Accent5 4 5 2 3" xfId="12611" xr:uid="{C1DBFCC4-D25B-437B-B1BD-E0CB8323AE29}"/>
    <cellStyle name="40% - Accent5 4 5 3" xfId="6245" xr:uid="{00000000-0005-0000-0000-0000CA060000}"/>
    <cellStyle name="40% - Accent5 4 5 3 2" xfId="14684" xr:uid="{7F2D0345-AA02-4A7C-A645-3AAFE7BF147E}"/>
    <cellStyle name="40% - Accent5 4 5 4" xfId="10466" xr:uid="{188E9C78-A812-4E55-81C6-AB6402AAD641}"/>
    <cellStyle name="40% - Accent5 4 6" xfId="2351" xr:uid="{00000000-0005-0000-0000-0000CB060000}"/>
    <cellStyle name="40% - Accent5 4 6 2" xfId="6658" xr:uid="{00000000-0005-0000-0000-0000CC060000}"/>
    <cellStyle name="40% - Accent5 4 6 2 2" xfId="15097" xr:uid="{745AF027-F3E5-4ECC-9A41-462FB613BD2A}"/>
    <cellStyle name="40% - Accent5 4 6 3" xfId="10879" xr:uid="{A9DFB4A3-E8C7-4F19-95AA-B4DCF39C8F02}"/>
    <cellStyle name="40% - Accent5 4 7" xfId="4592" xr:uid="{00000000-0005-0000-0000-0000CD060000}"/>
    <cellStyle name="40% - Accent5 4 7 2" xfId="13031" xr:uid="{2FF0A566-3A95-4B24-9AF5-E4F891397800}"/>
    <cellStyle name="40% - Accent5 4 8" xfId="8813" xr:uid="{A6A72783-14A3-410A-88FE-AF025572817C}"/>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34F41CEF-6C83-40CF-A261-E551366AA79C}"/>
    <cellStyle name="40% - Accent5 5 2 3" xfId="11365" xr:uid="{A2C02ADA-DDD7-42A6-A28A-AECEEB190D4C}"/>
    <cellStyle name="40% - Accent5 5 3" xfId="4999" xr:uid="{00000000-0005-0000-0000-0000D1060000}"/>
    <cellStyle name="40% - Accent5 5 3 2" xfId="13438" xr:uid="{D398B5E1-6928-462F-A896-1D72C1C29042}"/>
    <cellStyle name="40% - Accent5 5 4" xfId="9220" xr:uid="{104CAF07-42C7-486A-89B6-3DE0DDBAA627}"/>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8AA204F2-AB7B-45B9-81C9-1E70C956E982}"/>
    <cellStyle name="40% - Accent5 6 2 3" xfId="11778" xr:uid="{549E6A7C-F26F-43B0-A064-CD4A9C170721}"/>
    <cellStyle name="40% - Accent5 6 3" xfId="5412" xr:uid="{00000000-0005-0000-0000-0000D5060000}"/>
    <cellStyle name="40% - Accent5 6 3 2" xfId="13851" xr:uid="{BEFFAC84-6FF2-4B47-BC90-8BC8A7E1248F}"/>
    <cellStyle name="40% - Accent5 6 4" xfId="9633" xr:uid="{0180EA65-D636-4914-B9E7-BEE921CAF7D1}"/>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C4B1AB7E-6B90-454C-966B-13157AF11690}"/>
    <cellStyle name="40% - Accent5 7 2 3" xfId="12191" xr:uid="{1C115D6F-3FCA-4130-A0E1-A2169F2F0BF6}"/>
    <cellStyle name="40% - Accent5 7 3" xfId="5825" xr:uid="{00000000-0005-0000-0000-0000D9060000}"/>
    <cellStyle name="40% - Accent5 7 3 2" xfId="14264" xr:uid="{EE053173-659F-4582-AF51-2369080DB9D5}"/>
    <cellStyle name="40% - Accent5 7 4" xfId="10046" xr:uid="{1832A3D0-D044-4A71-9482-812B138BF3DF}"/>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3FC3C1DF-BDA3-478C-8A2B-AD73DDFE4F87}"/>
    <cellStyle name="40% - Accent5 8 2 3" xfId="12604" xr:uid="{83B3408A-3769-4A8F-834F-B601F63C82D5}"/>
    <cellStyle name="40% - Accent5 8 3" xfId="6238" xr:uid="{00000000-0005-0000-0000-0000DD060000}"/>
    <cellStyle name="40% - Accent5 8 3 2" xfId="14677" xr:uid="{2CCA347A-431B-4B04-A258-5F06373C564C}"/>
    <cellStyle name="40% - Accent5 8 4" xfId="10459" xr:uid="{AFCE5F9F-8253-4DFE-9BDB-6B7F85B4D6EF}"/>
    <cellStyle name="40% - Accent5 9" xfId="2344" xr:uid="{00000000-0005-0000-0000-0000DE060000}"/>
    <cellStyle name="40% - Accent5 9 2" xfId="6651" xr:uid="{00000000-0005-0000-0000-0000DF060000}"/>
    <cellStyle name="40% - Accent5 9 2 2" xfId="15090" xr:uid="{C6C7285C-ED8C-480B-85F8-EA082F3AB340}"/>
    <cellStyle name="40% - Accent5 9 3" xfId="10872" xr:uid="{61313847-E34E-4F62-985A-E06C4EC11AAF}"/>
    <cellStyle name="40% - Accent6" xfId="89" builtinId="51" customBuiltin="1"/>
    <cellStyle name="40% - Accent6 10" xfId="4593" xr:uid="{00000000-0005-0000-0000-0000E1060000}"/>
    <cellStyle name="40% - Accent6 10 2" xfId="13032" xr:uid="{320938B1-C46F-47EC-B973-8F6393322F15}"/>
    <cellStyle name="40% - Accent6 11" xfId="8814" xr:uid="{BBF26E68-A404-4C0E-BD8A-ACE8AE1699D6}"/>
    <cellStyle name="40% - Accent6 2" xfId="90" xr:uid="{00000000-0005-0000-0000-0000E2060000}"/>
    <cellStyle name="40% - Accent6 2 10" xfId="8815" xr:uid="{822F5CAF-5FF9-4265-AC0C-296FB05B021A}"/>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7B9A7B8A-58CB-479B-A54B-15354573468D}"/>
    <cellStyle name="40% - Accent6 2 2 2 2 2 3" xfId="11376" xr:uid="{17C42184-C965-41B4-8151-A485738440DF}"/>
    <cellStyle name="40% - Accent6 2 2 2 2 3" xfId="5010" xr:uid="{00000000-0005-0000-0000-0000E8060000}"/>
    <cellStyle name="40% - Accent6 2 2 2 2 3 2" xfId="13449" xr:uid="{10F7EBEC-CB75-4708-AB63-9C7B5CAE64A2}"/>
    <cellStyle name="40% - Accent6 2 2 2 2 4" xfId="9231" xr:uid="{B6C57A97-6C84-41D9-8475-A2228B6B0ACF}"/>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AF702AE2-7275-464A-9EEA-C0C5A7FE1D23}"/>
    <cellStyle name="40% - Accent6 2 2 2 3 2 3" xfId="11789" xr:uid="{06457B97-B0B9-4EA9-B527-E27C1E1537D4}"/>
    <cellStyle name="40% - Accent6 2 2 2 3 3" xfId="5423" xr:uid="{00000000-0005-0000-0000-0000EC060000}"/>
    <cellStyle name="40% - Accent6 2 2 2 3 3 2" xfId="13862" xr:uid="{1B178705-D17D-4653-B146-DB62B386F176}"/>
    <cellStyle name="40% - Accent6 2 2 2 3 4" xfId="9644" xr:uid="{B0818118-B997-42AD-AB55-38FBB57A12E2}"/>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49A21DBC-6CDC-44C7-9140-93184BCCD00D}"/>
    <cellStyle name="40% - Accent6 2 2 2 4 2 3" xfId="12202" xr:uid="{B4768E2E-8D8C-46B5-B6AA-52AF4FE7C2FB}"/>
    <cellStyle name="40% - Accent6 2 2 2 4 3" xfId="5836" xr:uid="{00000000-0005-0000-0000-0000F0060000}"/>
    <cellStyle name="40% - Accent6 2 2 2 4 3 2" xfId="14275" xr:uid="{C4929EFF-B027-4B24-965F-2F1C1329C17A}"/>
    <cellStyle name="40% - Accent6 2 2 2 4 4" xfId="10057" xr:uid="{76ECBAC2-D996-402C-ABCD-ECA99B651E69}"/>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9CBEC247-3ACD-4CC0-8F66-6E837DD6F42D}"/>
    <cellStyle name="40% - Accent6 2 2 2 5 2 3" xfId="12615" xr:uid="{18525A04-546D-43E5-9423-F40319821080}"/>
    <cellStyle name="40% - Accent6 2 2 2 5 3" xfId="6249" xr:uid="{00000000-0005-0000-0000-0000F4060000}"/>
    <cellStyle name="40% - Accent6 2 2 2 5 3 2" xfId="14688" xr:uid="{21048E71-C23D-415A-89DA-26AEB48DCD58}"/>
    <cellStyle name="40% - Accent6 2 2 2 5 4" xfId="10470" xr:uid="{EE4E1486-13FD-4551-B63A-1C32BC47B522}"/>
    <cellStyle name="40% - Accent6 2 2 2 6" xfId="2355" xr:uid="{00000000-0005-0000-0000-0000F5060000}"/>
    <cellStyle name="40% - Accent6 2 2 2 6 2" xfId="6662" xr:uid="{00000000-0005-0000-0000-0000F6060000}"/>
    <cellStyle name="40% - Accent6 2 2 2 6 2 2" xfId="15101" xr:uid="{4EA8B56C-EBD9-4E48-B47E-89A30B45F0B9}"/>
    <cellStyle name="40% - Accent6 2 2 2 6 3" xfId="10883" xr:uid="{2D5D20C7-1B14-495B-9A08-76A379EAA3D8}"/>
    <cellStyle name="40% - Accent6 2 2 2 7" xfId="4596" xr:uid="{00000000-0005-0000-0000-0000F7060000}"/>
    <cellStyle name="40% - Accent6 2 2 2 7 2" xfId="13035" xr:uid="{EC2F4A21-EF4F-4A8E-B26B-3DA30A59AC35}"/>
    <cellStyle name="40% - Accent6 2 2 2 8" xfId="8817" xr:uid="{B8AE3044-DE0D-4F43-9980-235A5279F056}"/>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B8C4C4D3-EBD3-4D0A-9A55-EF8692038BBF}"/>
    <cellStyle name="40% - Accent6 2 2 3 2 3" xfId="11375" xr:uid="{44FA2731-C66D-4D45-8B99-68D45B6C51C9}"/>
    <cellStyle name="40% - Accent6 2 2 3 3" xfId="5009" xr:uid="{00000000-0005-0000-0000-0000FB060000}"/>
    <cellStyle name="40% - Accent6 2 2 3 3 2" xfId="13448" xr:uid="{BCEA3A2C-203E-4ECC-84B9-815DE792C7C2}"/>
    <cellStyle name="40% - Accent6 2 2 3 4" xfId="9230" xr:uid="{21FD3338-E62F-493B-A041-8C06186F4C3D}"/>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F1FCF875-7CE5-4CCE-95E9-B157ADDA15AC}"/>
    <cellStyle name="40% - Accent6 2 2 4 2 3" xfId="11788" xr:uid="{500F48FB-68BC-4A48-8A3E-BBEE0FF54F3A}"/>
    <cellStyle name="40% - Accent6 2 2 4 3" xfId="5422" xr:uid="{00000000-0005-0000-0000-0000FF060000}"/>
    <cellStyle name="40% - Accent6 2 2 4 3 2" xfId="13861" xr:uid="{48D12956-8AB9-4B82-9C83-879E9625DEF5}"/>
    <cellStyle name="40% - Accent6 2 2 4 4" xfId="9643" xr:uid="{0583141D-AD05-449D-ADCC-F0E66B02435F}"/>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E1ABE2AF-ADCE-4FA3-A494-31388A7312B5}"/>
    <cellStyle name="40% - Accent6 2 2 5 2 3" xfId="12201" xr:uid="{83A6EC2F-E7BC-45BB-BB2A-E0E3CD57F6B8}"/>
    <cellStyle name="40% - Accent6 2 2 5 3" xfId="5835" xr:uid="{00000000-0005-0000-0000-000003070000}"/>
    <cellStyle name="40% - Accent6 2 2 5 3 2" xfId="14274" xr:uid="{11B4FBD0-0211-425C-9202-044C919CD495}"/>
    <cellStyle name="40% - Accent6 2 2 5 4" xfId="10056" xr:uid="{ECB1A7EE-E96E-4D33-A2E7-2DCA69F58D08}"/>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3E449CD3-4212-45E1-8BBD-ADC1FDE993C2}"/>
    <cellStyle name="40% - Accent6 2 2 6 2 3" xfId="12614" xr:uid="{B5F1BBE6-1331-4F00-AC89-7C6E46111FE4}"/>
    <cellStyle name="40% - Accent6 2 2 6 3" xfId="6248" xr:uid="{00000000-0005-0000-0000-000007070000}"/>
    <cellStyle name="40% - Accent6 2 2 6 3 2" xfId="14687" xr:uid="{EF81106A-1B2E-410D-9E92-234606423439}"/>
    <cellStyle name="40% - Accent6 2 2 6 4" xfId="10469" xr:uid="{F8C16406-7E09-4642-B9C6-F6A630BA6BD8}"/>
    <cellStyle name="40% - Accent6 2 2 7" xfId="2354" xr:uid="{00000000-0005-0000-0000-000008070000}"/>
    <cellStyle name="40% - Accent6 2 2 7 2" xfId="6661" xr:uid="{00000000-0005-0000-0000-000009070000}"/>
    <cellStyle name="40% - Accent6 2 2 7 2 2" xfId="15100" xr:uid="{7D85E99B-66D0-4070-831B-F5311A2CC5A6}"/>
    <cellStyle name="40% - Accent6 2 2 7 3" xfId="10882" xr:uid="{EC4D5760-5049-49DB-AC36-6610ABBC43E6}"/>
    <cellStyle name="40% - Accent6 2 2 8" xfId="4595" xr:uid="{00000000-0005-0000-0000-00000A070000}"/>
    <cellStyle name="40% - Accent6 2 2 8 2" xfId="13034" xr:uid="{E937F1BA-F41C-4ABA-B1F3-18D6844415A1}"/>
    <cellStyle name="40% - Accent6 2 2 9" xfId="8816" xr:uid="{584D56C3-89AD-4E69-B918-040184F22BFD}"/>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CEFAB41B-9C7B-4E73-9AC1-D2E96A3BC1F7}"/>
    <cellStyle name="40% - Accent6 2 3 2 2 3" xfId="11377" xr:uid="{B50C0A09-02D2-4961-8B0F-DA0E065163CD}"/>
    <cellStyle name="40% - Accent6 2 3 2 3" xfId="5011" xr:uid="{00000000-0005-0000-0000-00000F070000}"/>
    <cellStyle name="40% - Accent6 2 3 2 3 2" xfId="13450" xr:uid="{19607CEA-0CE9-4C6D-94C5-BB937602FB99}"/>
    <cellStyle name="40% - Accent6 2 3 2 4" xfId="9232" xr:uid="{C081F438-1799-4F39-ACA5-18AFDC86CFA8}"/>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2DE91418-B38D-434C-B0FF-76E08EBF9CED}"/>
    <cellStyle name="40% - Accent6 2 3 3 2 3" xfId="11790" xr:uid="{BC558AF0-5F57-4C4D-8BB9-171A224709CB}"/>
    <cellStyle name="40% - Accent6 2 3 3 3" xfId="5424" xr:uid="{00000000-0005-0000-0000-000013070000}"/>
    <cellStyle name="40% - Accent6 2 3 3 3 2" xfId="13863" xr:uid="{AE6DB602-0389-43B2-8983-721D8BA48E61}"/>
    <cellStyle name="40% - Accent6 2 3 3 4" xfId="9645" xr:uid="{FB4EF916-66C6-49B7-969C-E00B29AEB25F}"/>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B53E69EA-678C-4429-8196-3CD037A565CC}"/>
    <cellStyle name="40% - Accent6 2 3 4 2 3" xfId="12203" xr:uid="{8426DA70-3B40-43C4-99BC-4E4AE4857DFC}"/>
    <cellStyle name="40% - Accent6 2 3 4 3" xfId="5837" xr:uid="{00000000-0005-0000-0000-000017070000}"/>
    <cellStyle name="40% - Accent6 2 3 4 3 2" xfId="14276" xr:uid="{5202ABD3-B31E-472C-ADFA-B63FCF55E921}"/>
    <cellStyle name="40% - Accent6 2 3 4 4" xfId="10058" xr:uid="{AC1910C0-FD1E-4129-B549-9747F5990CA1}"/>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1BD21EB9-A13E-49B4-8BF4-DE8BCB53E94F}"/>
    <cellStyle name="40% - Accent6 2 3 5 2 3" xfId="12616" xr:uid="{E39BCFD8-2F90-440A-86C6-EE97E1B36F45}"/>
    <cellStyle name="40% - Accent6 2 3 5 3" xfId="6250" xr:uid="{00000000-0005-0000-0000-00001B070000}"/>
    <cellStyle name="40% - Accent6 2 3 5 3 2" xfId="14689" xr:uid="{AB2FC87F-B91F-4197-AD87-6B905E5E9CAE}"/>
    <cellStyle name="40% - Accent6 2 3 5 4" xfId="10471" xr:uid="{CE1717AC-D2BB-420D-B7E8-33DE3A9B4F54}"/>
    <cellStyle name="40% - Accent6 2 3 6" xfId="2356" xr:uid="{00000000-0005-0000-0000-00001C070000}"/>
    <cellStyle name="40% - Accent6 2 3 6 2" xfId="6663" xr:uid="{00000000-0005-0000-0000-00001D070000}"/>
    <cellStyle name="40% - Accent6 2 3 6 2 2" xfId="15102" xr:uid="{6ADF2D1A-038D-4322-8F73-1701CF14B99A}"/>
    <cellStyle name="40% - Accent6 2 3 6 3" xfId="10884" xr:uid="{E45A1D82-A8DB-422B-AE8B-1DF1D81AC2EC}"/>
    <cellStyle name="40% - Accent6 2 3 7" xfId="4597" xr:uid="{00000000-0005-0000-0000-00001E070000}"/>
    <cellStyle name="40% - Accent6 2 3 7 2" xfId="13036" xr:uid="{78D1B637-9A65-4F81-A365-7BC3C7DF7BAB}"/>
    <cellStyle name="40% - Accent6 2 3 8" xfId="8818" xr:uid="{4C04E236-8CC6-416E-83B7-41520CE7FAD7}"/>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2AC21185-4721-4186-88FD-054535EF0BC8}"/>
    <cellStyle name="40% - Accent6 2 4 2 3" xfId="11374" xr:uid="{7A725834-284F-43A3-B478-2704672D6B6D}"/>
    <cellStyle name="40% - Accent6 2 4 3" xfId="5008" xr:uid="{00000000-0005-0000-0000-000022070000}"/>
    <cellStyle name="40% - Accent6 2 4 3 2" xfId="13447" xr:uid="{35D104CE-00CE-42D9-9983-8F56F81253DD}"/>
    <cellStyle name="40% - Accent6 2 4 4" xfId="9229" xr:uid="{FF554165-795A-477D-AE18-FB34F323E543}"/>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21A4001B-F4EE-4B75-9C8D-0EC7C19C1120}"/>
    <cellStyle name="40% - Accent6 2 5 2 3" xfId="11787" xr:uid="{BDD003F5-27C1-44D9-8722-89B343CD0802}"/>
    <cellStyle name="40% - Accent6 2 5 3" xfId="5421" xr:uid="{00000000-0005-0000-0000-000026070000}"/>
    <cellStyle name="40% - Accent6 2 5 3 2" xfId="13860" xr:uid="{C57A9360-777B-4C83-9447-5582315E4A28}"/>
    <cellStyle name="40% - Accent6 2 5 4" xfId="9642" xr:uid="{E3B9AA60-E5BC-4F6B-80AE-0347C51109B0}"/>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DD31B0F5-60B8-4439-B8A4-CFB8340A5968}"/>
    <cellStyle name="40% - Accent6 2 6 2 3" xfId="12200" xr:uid="{4081C912-7AA5-4599-ACD4-EA0B92B22E6E}"/>
    <cellStyle name="40% - Accent6 2 6 3" xfId="5834" xr:uid="{00000000-0005-0000-0000-00002A070000}"/>
    <cellStyle name="40% - Accent6 2 6 3 2" xfId="14273" xr:uid="{829C00BE-1AE0-4FBC-B6DE-5127C6502D58}"/>
    <cellStyle name="40% - Accent6 2 6 4" xfId="10055" xr:uid="{00711D97-412C-4D76-9E4B-4751EE16DCC0}"/>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5C400132-FE29-49C8-BF26-79A149DC0FDC}"/>
    <cellStyle name="40% - Accent6 2 7 2 3" xfId="12613" xr:uid="{0B99F5AA-7D85-4726-8358-F0F1246126F0}"/>
    <cellStyle name="40% - Accent6 2 7 3" xfId="6247" xr:uid="{00000000-0005-0000-0000-00002E070000}"/>
    <cellStyle name="40% - Accent6 2 7 3 2" xfId="14686" xr:uid="{F37DFF65-C6E9-415A-880D-9E791EC6BEB7}"/>
    <cellStyle name="40% - Accent6 2 7 4" xfId="10468" xr:uid="{8A1DC750-8342-42A0-B104-948358D9AFF9}"/>
    <cellStyle name="40% - Accent6 2 8" xfId="2353" xr:uid="{00000000-0005-0000-0000-00002F070000}"/>
    <cellStyle name="40% - Accent6 2 8 2" xfId="6660" xr:uid="{00000000-0005-0000-0000-000030070000}"/>
    <cellStyle name="40% - Accent6 2 8 2 2" xfId="15099" xr:uid="{BBC1D39C-D1CB-4043-A904-DCA6028A97F5}"/>
    <cellStyle name="40% - Accent6 2 8 3" xfId="10881" xr:uid="{92DBC4FC-9D87-46AA-948E-E6CDF211648E}"/>
    <cellStyle name="40% - Accent6 2 9" xfId="4594" xr:uid="{00000000-0005-0000-0000-000031070000}"/>
    <cellStyle name="40% - Accent6 2 9 2" xfId="13033" xr:uid="{CB991FBF-E98E-4D9E-8578-D3365F65E37D}"/>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D8CFE95D-2C12-4922-B3EC-3A3288D0680D}"/>
    <cellStyle name="40% - Accent6 3 2 2 2 3" xfId="11379" xr:uid="{F2189BC4-9461-44F2-81E6-531A5501EAC2}"/>
    <cellStyle name="40% - Accent6 3 2 2 3" xfId="5013" xr:uid="{00000000-0005-0000-0000-000037070000}"/>
    <cellStyle name="40% - Accent6 3 2 2 3 2" xfId="13452" xr:uid="{9736BD77-BA64-4242-8AD6-E61884A917AC}"/>
    <cellStyle name="40% - Accent6 3 2 2 4" xfId="9234" xr:uid="{168E92B5-7053-416E-B15A-C7F7B7E5D221}"/>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B1AFD441-8FE9-4D2E-821F-CEFC222DE612}"/>
    <cellStyle name="40% - Accent6 3 2 3 2 3" xfId="11792" xr:uid="{6E535A49-E402-4041-8193-0FF5F4D1EE68}"/>
    <cellStyle name="40% - Accent6 3 2 3 3" xfId="5426" xr:uid="{00000000-0005-0000-0000-00003B070000}"/>
    <cellStyle name="40% - Accent6 3 2 3 3 2" xfId="13865" xr:uid="{06AE8617-6CBB-4839-A70D-ED0BC90E42CB}"/>
    <cellStyle name="40% - Accent6 3 2 3 4" xfId="9647" xr:uid="{026F56C4-1A9C-4969-A4FB-5568E6D3B1E8}"/>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A102327F-E06F-418E-95ED-B673E629E5D5}"/>
    <cellStyle name="40% - Accent6 3 2 4 2 3" xfId="12205" xr:uid="{EEA19651-1A0B-49FC-9CD5-2D2BFBDEDAEB}"/>
    <cellStyle name="40% - Accent6 3 2 4 3" xfId="5839" xr:uid="{00000000-0005-0000-0000-00003F070000}"/>
    <cellStyle name="40% - Accent6 3 2 4 3 2" xfId="14278" xr:uid="{7D6B6B60-00D8-4E5C-A89A-EFC39C0EC5F5}"/>
    <cellStyle name="40% - Accent6 3 2 4 4" xfId="10060" xr:uid="{380D6F28-F896-4B85-BD47-C9B06E2A75DC}"/>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8B2A644D-F769-4BBB-BE46-430A2B1306AA}"/>
    <cellStyle name="40% - Accent6 3 2 5 2 3" xfId="12618" xr:uid="{A8E24520-AFBD-47F3-B913-043F9678A3EB}"/>
    <cellStyle name="40% - Accent6 3 2 5 3" xfId="6252" xr:uid="{00000000-0005-0000-0000-000043070000}"/>
    <cellStyle name="40% - Accent6 3 2 5 3 2" xfId="14691" xr:uid="{E7F55712-AFCF-45D8-BA8D-2B9BF612E856}"/>
    <cellStyle name="40% - Accent6 3 2 5 4" xfId="10473" xr:uid="{FAAB3A91-4FE1-4777-9577-90355DCBE6F7}"/>
    <cellStyle name="40% - Accent6 3 2 6" xfId="2358" xr:uid="{00000000-0005-0000-0000-000044070000}"/>
    <cellStyle name="40% - Accent6 3 2 6 2" xfId="6665" xr:uid="{00000000-0005-0000-0000-000045070000}"/>
    <cellStyle name="40% - Accent6 3 2 6 2 2" xfId="15104" xr:uid="{29BB6F66-EFBF-45DC-BB25-4CDD89B90BB5}"/>
    <cellStyle name="40% - Accent6 3 2 6 3" xfId="10886" xr:uid="{5F0305BE-D47C-48D7-B1E5-C2BCCABD2916}"/>
    <cellStyle name="40% - Accent6 3 2 7" xfId="4599" xr:uid="{00000000-0005-0000-0000-000046070000}"/>
    <cellStyle name="40% - Accent6 3 2 7 2" xfId="13038" xr:uid="{1BE85E52-ABA9-499B-9EA8-D97C1810AEFB}"/>
    <cellStyle name="40% - Accent6 3 2 8" xfId="8820" xr:uid="{B57C53B3-A1B9-49D5-8427-EFD163892046}"/>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88010EB2-2764-43C8-BED2-AF1C573DEC9D}"/>
    <cellStyle name="40% - Accent6 3 3 2 3" xfId="11378" xr:uid="{AF5C1C9A-845D-41DC-890C-83B5185C7BED}"/>
    <cellStyle name="40% - Accent6 3 3 3" xfId="5012" xr:uid="{00000000-0005-0000-0000-00004A070000}"/>
    <cellStyle name="40% - Accent6 3 3 3 2" xfId="13451" xr:uid="{65EBFD96-D73C-4565-A9E4-C02D9F5FE3FC}"/>
    <cellStyle name="40% - Accent6 3 3 4" xfId="9233" xr:uid="{D9766DA4-880E-41E4-A269-87B7252E1B1E}"/>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D4305F8A-4251-4B25-A377-74C2E8E786E6}"/>
    <cellStyle name="40% - Accent6 3 4 2 3" xfId="11791" xr:uid="{EDAEDB53-0DCB-4A99-9C75-2FE070ACE6E2}"/>
    <cellStyle name="40% - Accent6 3 4 3" xfId="5425" xr:uid="{00000000-0005-0000-0000-00004E070000}"/>
    <cellStyle name="40% - Accent6 3 4 3 2" xfId="13864" xr:uid="{8675E63F-879B-4714-B308-4FB5C4AE6F0B}"/>
    <cellStyle name="40% - Accent6 3 4 4" xfId="9646" xr:uid="{218A419A-FB37-4519-8FC4-B29EDA5A81E1}"/>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98AD7B7F-1418-4AF1-934A-193E0EB52666}"/>
    <cellStyle name="40% - Accent6 3 5 2 3" xfId="12204" xr:uid="{1C8E32E5-682B-4E78-84FA-AEE7127DE50A}"/>
    <cellStyle name="40% - Accent6 3 5 3" xfId="5838" xr:uid="{00000000-0005-0000-0000-000052070000}"/>
    <cellStyle name="40% - Accent6 3 5 3 2" xfId="14277" xr:uid="{1C9856A0-839E-48F5-BBEF-5E606EA9C09B}"/>
    <cellStyle name="40% - Accent6 3 5 4" xfId="10059" xr:uid="{B5481105-806B-4705-B381-49C532080BF2}"/>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00E8F4B1-FEAC-46CC-8C71-6D3112687296}"/>
    <cellStyle name="40% - Accent6 3 6 2 3" xfId="12617" xr:uid="{641916AF-8555-4937-83D7-2FDF805CF1E0}"/>
    <cellStyle name="40% - Accent6 3 6 3" xfId="6251" xr:uid="{00000000-0005-0000-0000-000056070000}"/>
    <cellStyle name="40% - Accent6 3 6 3 2" xfId="14690" xr:uid="{806E864F-D070-4433-BAB9-C172BE68D5F4}"/>
    <cellStyle name="40% - Accent6 3 6 4" xfId="10472" xr:uid="{31D94C11-C42B-44C8-886D-5FD38CE20249}"/>
    <cellStyle name="40% - Accent6 3 7" xfId="2357" xr:uid="{00000000-0005-0000-0000-000057070000}"/>
    <cellStyle name="40% - Accent6 3 7 2" xfId="6664" xr:uid="{00000000-0005-0000-0000-000058070000}"/>
    <cellStyle name="40% - Accent6 3 7 2 2" xfId="15103" xr:uid="{CFD7CA1E-B91E-49FF-B1D8-83E776DFF4E0}"/>
    <cellStyle name="40% - Accent6 3 7 3" xfId="10885" xr:uid="{D3AA79D9-E7E4-48F1-AB73-93FEC92D132A}"/>
    <cellStyle name="40% - Accent6 3 8" xfId="4598" xr:uid="{00000000-0005-0000-0000-000059070000}"/>
    <cellStyle name="40% - Accent6 3 8 2" xfId="13037" xr:uid="{4EA699CF-00A0-463F-AC8F-8A51DB49B779}"/>
    <cellStyle name="40% - Accent6 3 9" xfId="8819" xr:uid="{5B6EADA8-DD05-4882-BA06-6592BAE09CBA}"/>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B59B917C-C8E9-43AF-99E0-E406851E6F4F}"/>
    <cellStyle name="40% - Accent6 4 2 2 3" xfId="11380" xr:uid="{5E5F3C8E-EDDD-4466-A88D-47D0C928936B}"/>
    <cellStyle name="40% - Accent6 4 2 3" xfId="5014" xr:uid="{00000000-0005-0000-0000-00005E070000}"/>
    <cellStyle name="40% - Accent6 4 2 3 2" xfId="13453" xr:uid="{42F3908F-1BB7-4541-B750-9E355F07152F}"/>
    <cellStyle name="40% - Accent6 4 2 4" xfId="9235" xr:uid="{774FE275-4C47-4AC1-9601-60FEAC7D6683}"/>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CF52E3F0-EDCA-4340-A732-35423EDA691B}"/>
    <cellStyle name="40% - Accent6 4 3 2 3" xfId="11793" xr:uid="{7FFF063B-972F-48C8-83E3-5561AAFCC0FF}"/>
    <cellStyle name="40% - Accent6 4 3 3" xfId="5427" xr:uid="{00000000-0005-0000-0000-000062070000}"/>
    <cellStyle name="40% - Accent6 4 3 3 2" xfId="13866" xr:uid="{70424CDA-87FD-44CA-9D9E-D06BFE8F8721}"/>
    <cellStyle name="40% - Accent6 4 3 4" xfId="9648" xr:uid="{DAB64A9E-9E3F-4B5A-B12E-E1BA8E443E68}"/>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0C4B1D06-D11A-4DD4-AF07-E0E53123876A}"/>
    <cellStyle name="40% - Accent6 4 4 2 3" xfId="12206" xr:uid="{542E7639-288F-4709-9F44-B8FB4976EEA3}"/>
    <cellStyle name="40% - Accent6 4 4 3" xfId="5840" xr:uid="{00000000-0005-0000-0000-000066070000}"/>
    <cellStyle name="40% - Accent6 4 4 3 2" xfId="14279" xr:uid="{9DB6DF3F-F5C3-4305-AE24-58BE8BD85DD5}"/>
    <cellStyle name="40% - Accent6 4 4 4" xfId="10061" xr:uid="{B5128F07-0AD8-4B82-A335-2C34E33FACD3}"/>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080E34DF-12A5-4D20-802D-E1219BCA994E}"/>
    <cellStyle name="40% - Accent6 4 5 2 3" xfId="12619" xr:uid="{BECDADB3-BF64-4FBA-A4CC-BAA0B21D6F21}"/>
    <cellStyle name="40% - Accent6 4 5 3" xfId="6253" xr:uid="{00000000-0005-0000-0000-00006A070000}"/>
    <cellStyle name="40% - Accent6 4 5 3 2" xfId="14692" xr:uid="{61838B41-FB3B-4733-BE8E-5D8293AA71E3}"/>
    <cellStyle name="40% - Accent6 4 5 4" xfId="10474" xr:uid="{072E8F08-EFDA-42F2-8F81-FF3F494A00E1}"/>
    <cellStyle name="40% - Accent6 4 6" xfId="2359" xr:uid="{00000000-0005-0000-0000-00006B070000}"/>
    <cellStyle name="40% - Accent6 4 6 2" xfId="6666" xr:uid="{00000000-0005-0000-0000-00006C070000}"/>
    <cellStyle name="40% - Accent6 4 6 2 2" xfId="15105" xr:uid="{F102BEB0-1B52-4B76-AEC5-C7650A1217C6}"/>
    <cellStyle name="40% - Accent6 4 6 3" xfId="10887" xr:uid="{02E3D068-AB3C-4188-B8EC-4C7AB9353BFC}"/>
    <cellStyle name="40% - Accent6 4 7" xfId="4600" xr:uid="{00000000-0005-0000-0000-00006D070000}"/>
    <cellStyle name="40% - Accent6 4 7 2" xfId="13039" xr:uid="{630CF5BF-7E17-4A3B-A722-41D07459567C}"/>
    <cellStyle name="40% - Accent6 4 8" xfId="8821" xr:uid="{73CEE739-836E-414F-B69D-08C6D0493E5C}"/>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A49FD88A-6C07-4D59-8C11-DD6F038F092A}"/>
    <cellStyle name="40% - Accent6 5 2 3" xfId="11373" xr:uid="{B507DD53-E985-450D-97E9-B027D2D55A4C}"/>
    <cellStyle name="40% - Accent6 5 3" xfId="5007" xr:uid="{00000000-0005-0000-0000-000071070000}"/>
    <cellStyle name="40% - Accent6 5 3 2" xfId="13446" xr:uid="{631C8301-9517-4FD1-87C0-5C02E0E9EB16}"/>
    <cellStyle name="40% - Accent6 5 4" xfId="9228" xr:uid="{B055FC0B-886A-482F-8271-2B5F1B014714}"/>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BFD1488F-9CF3-454F-8E3C-BDC444A19743}"/>
    <cellStyle name="40% - Accent6 6 2 3" xfId="11786" xr:uid="{210279E6-24F1-4409-8137-901691AA67E6}"/>
    <cellStyle name="40% - Accent6 6 3" xfId="5420" xr:uid="{00000000-0005-0000-0000-000075070000}"/>
    <cellStyle name="40% - Accent6 6 3 2" xfId="13859" xr:uid="{C6143CCF-1A24-4E5A-8EEA-B9D90E6C1A49}"/>
    <cellStyle name="40% - Accent6 6 4" xfId="9641" xr:uid="{2950045F-34B0-4875-8870-8EC99BD9803A}"/>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7EDDB21A-ACDB-43EB-A798-611283FF1C34}"/>
    <cellStyle name="40% - Accent6 7 2 3" xfId="12199" xr:uid="{758E65CC-4B65-4A0F-8856-3E69348FA8DA}"/>
    <cellStyle name="40% - Accent6 7 3" xfId="5833" xr:uid="{00000000-0005-0000-0000-000079070000}"/>
    <cellStyle name="40% - Accent6 7 3 2" xfId="14272" xr:uid="{0ADAD6DF-C4AA-4E00-8B28-7FB9E111AA4F}"/>
    <cellStyle name="40% - Accent6 7 4" xfId="10054" xr:uid="{79294322-1A64-4900-9372-EA66F1ED248D}"/>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DB6C653D-EAFD-4D00-B241-AFB3B2BE2A11}"/>
    <cellStyle name="40% - Accent6 8 2 3" xfId="12612" xr:uid="{BE60EE00-9021-4F79-90B1-B0229FAE5B45}"/>
    <cellStyle name="40% - Accent6 8 3" xfId="6246" xr:uid="{00000000-0005-0000-0000-00007D070000}"/>
    <cellStyle name="40% - Accent6 8 3 2" xfId="14685" xr:uid="{AA0601E7-C273-42EE-9528-BCE0ACDEF1D4}"/>
    <cellStyle name="40% - Accent6 8 4" xfId="10467" xr:uid="{7CC6AB50-8F0C-43EE-BD79-0DF940977B06}"/>
    <cellStyle name="40% - Accent6 9" xfId="2352" xr:uid="{00000000-0005-0000-0000-00007E070000}"/>
    <cellStyle name="40% - Accent6 9 2" xfId="6659" xr:uid="{00000000-0005-0000-0000-00007F070000}"/>
    <cellStyle name="40% - Accent6 9 2 2" xfId="15098" xr:uid="{6C0363E5-16F0-46B2-9012-B629397B16A0}"/>
    <cellStyle name="40% - Accent6 9 3" xfId="10880" xr:uid="{D4431337-7CE7-4D2B-A3B9-05349F42C22D}"/>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DBC84C4C-EA13-4156-A9D1-A065E0C67B88}"/>
    <cellStyle name="Comma 4 2 2 2 10 3" xfId="11205" xr:uid="{706789D9-3960-4A08-8DE5-99186F32420D}"/>
    <cellStyle name="Comma 4 2 2 2 11" xfId="4601" xr:uid="{00000000-0005-0000-0000-0000A3070000}"/>
    <cellStyle name="Comma 4 2 2 2 11 2" xfId="13040" xr:uid="{4A61C7BE-80AA-4178-B988-8459D4733047}"/>
    <cellStyle name="Comma 4 2 2 2 12" xfId="8822" xr:uid="{C8BE3CE7-6DA6-4B65-B5AF-60DE41C53A95}"/>
    <cellStyle name="Comma 4 2 2 2 2" xfId="129" xr:uid="{00000000-0005-0000-0000-0000A4070000}"/>
    <cellStyle name="Comma 4 2 2 2 2 10" xfId="4602" xr:uid="{00000000-0005-0000-0000-0000A5070000}"/>
    <cellStyle name="Comma 4 2 2 2 2 10 2" xfId="13041" xr:uid="{9D1D4989-E51B-40DA-8497-568FB5E9A53D}"/>
    <cellStyle name="Comma 4 2 2 2 2 11" xfId="8823" xr:uid="{4B1B31B8-9C7D-42C4-AD2C-EBD91361B281}"/>
    <cellStyle name="Comma 4 2 2 2 2 2" xfId="130" xr:uid="{00000000-0005-0000-0000-0000A6070000}"/>
    <cellStyle name="Comma 4 2 2 2 2 2 10" xfId="8824" xr:uid="{049EB739-F3AF-4139-9CF4-F121D514C468}"/>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42B8DAC8-1AA6-48F2-88B0-5D9F51D99066}"/>
    <cellStyle name="Comma 4 2 2 2 2 2 2 2 3" xfId="11383" xr:uid="{F815C395-5F62-42F1-AAE7-73D9203A5890}"/>
    <cellStyle name="Comma 4 2 2 2 2 2 2 3" xfId="5017" xr:uid="{00000000-0005-0000-0000-0000AA070000}"/>
    <cellStyle name="Comma 4 2 2 2 2 2 2 3 2" xfId="13456" xr:uid="{E81012FB-CC0F-4CAE-A2DF-396744494424}"/>
    <cellStyle name="Comma 4 2 2 2 2 2 2 4" xfId="9238" xr:uid="{471D9F8E-5EF1-48DE-86E6-D8E3079A1EF8}"/>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78A67211-7505-45AD-B6A1-FD09BDE8346A}"/>
    <cellStyle name="Comma 4 2 2 2 2 2 3 2 3" xfId="11796" xr:uid="{381C0C66-26E4-4E6E-BD60-D15CD44EAF83}"/>
    <cellStyle name="Comma 4 2 2 2 2 2 3 3" xfId="5430" xr:uid="{00000000-0005-0000-0000-0000AE070000}"/>
    <cellStyle name="Comma 4 2 2 2 2 2 3 3 2" xfId="13869" xr:uid="{AE81789B-0F11-42E4-A871-9B6681947827}"/>
    <cellStyle name="Comma 4 2 2 2 2 2 3 4" xfId="9651" xr:uid="{B8FA9D50-C303-4879-9074-740C04E3DD7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07A5C79D-F505-45B6-B422-3EF8B9E15F48}"/>
    <cellStyle name="Comma 4 2 2 2 2 2 4 2 3" xfId="12209" xr:uid="{2FA2F94A-5E42-4711-AC08-E085C94F5E90}"/>
    <cellStyle name="Comma 4 2 2 2 2 2 4 3" xfId="5843" xr:uid="{00000000-0005-0000-0000-0000B2070000}"/>
    <cellStyle name="Comma 4 2 2 2 2 2 4 3 2" xfId="14282" xr:uid="{B2BC8904-75E0-4348-89DD-2B0BEA88FF91}"/>
    <cellStyle name="Comma 4 2 2 2 2 2 4 4" xfId="10064" xr:uid="{EF054E07-05CD-4519-82E7-4B63C5A996E6}"/>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CE34F6A8-4D7C-4BE0-9716-C4E80529CE68}"/>
    <cellStyle name="Comma 4 2 2 2 2 2 5 2 3" xfId="12622" xr:uid="{D861AA3C-D35E-4732-A8B9-D2ED531F8273}"/>
    <cellStyle name="Comma 4 2 2 2 2 2 5 3" xfId="6256" xr:uid="{00000000-0005-0000-0000-0000B6070000}"/>
    <cellStyle name="Comma 4 2 2 2 2 2 5 3 2" xfId="14695" xr:uid="{DE11952C-C12B-4284-9520-2514A3798956}"/>
    <cellStyle name="Comma 4 2 2 2 2 2 5 4" xfId="10477" xr:uid="{E66CFD2E-0FA0-48B2-8998-57BE4E2F33AC}"/>
    <cellStyle name="Comma 4 2 2 2 2 2 6" xfId="2384" xr:uid="{00000000-0005-0000-0000-0000B7070000}"/>
    <cellStyle name="Comma 4 2 2 2 2 2 6 2" xfId="6669" xr:uid="{00000000-0005-0000-0000-0000B8070000}"/>
    <cellStyle name="Comma 4 2 2 2 2 2 6 2 2" xfId="15108" xr:uid="{7691CA31-0680-428B-96B4-A1E66E5655DB}"/>
    <cellStyle name="Comma 4 2 2 2 2 2 6 3" xfId="10890" xr:uid="{68F33B42-9C36-4DD4-A75F-DDC7086AD74D}"/>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4E5E9D99-1030-4EF8-9844-C45F80F266B5}"/>
    <cellStyle name="Comma 4 2 2 2 2 2 8 3" xfId="11207" xr:uid="{60F0E76A-5DC2-4DF9-BF14-66D1ECCE1B32}"/>
    <cellStyle name="Comma 4 2 2 2 2 2 9" xfId="4603" xr:uid="{00000000-0005-0000-0000-0000BC070000}"/>
    <cellStyle name="Comma 4 2 2 2 2 2 9 2" xfId="13042" xr:uid="{CA72F960-C511-40ED-87E6-1746A513A25E}"/>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4D9965C1-ED4A-4C33-8384-71E0422612F3}"/>
    <cellStyle name="Comma 4 2 2 2 2 3 2 3" xfId="11382" xr:uid="{3396C170-B6E5-4F33-AA0B-BBADF29825C8}"/>
    <cellStyle name="Comma 4 2 2 2 2 3 3" xfId="5016" xr:uid="{00000000-0005-0000-0000-0000C0070000}"/>
    <cellStyle name="Comma 4 2 2 2 2 3 3 2" xfId="13455" xr:uid="{EDB0F234-5D75-46EB-9BAC-5AE37A025058}"/>
    <cellStyle name="Comma 4 2 2 2 2 3 4" xfId="9237" xr:uid="{2A02DE12-CE11-46A1-9C28-A9375EE72509}"/>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16F354C6-3923-4BF8-B744-F55A41814B4F}"/>
    <cellStyle name="Comma 4 2 2 2 2 4 2 3" xfId="11795" xr:uid="{A506A7C3-2E22-45CA-B3E1-FDB9F8110691}"/>
    <cellStyle name="Comma 4 2 2 2 2 4 3" xfId="5429" xr:uid="{00000000-0005-0000-0000-0000C4070000}"/>
    <cellStyle name="Comma 4 2 2 2 2 4 3 2" xfId="13868" xr:uid="{E008D312-D29A-4730-895D-D0A2E9EF1F79}"/>
    <cellStyle name="Comma 4 2 2 2 2 4 4" xfId="9650" xr:uid="{F2114692-3AC3-4EEA-91CD-61971B8EAF3B}"/>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751C6CFB-5028-4E5B-B2D6-DE32399672CB}"/>
    <cellStyle name="Comma 4 2 2 2 2 5 2 3" xfId="12208" xr:uid="{294D108E-8E9E-4371-940C-DD85E22E1341}"/>
    <cellStyle name="Comma 4 2 2 2 2 5 3" xfId="5842" xr:uid="{00000000-0005-0000-0000-0000C8070000}"/>
    <cellStyle name="Comma 4 2 2 2 2 5 3 2" xfId="14281" xr:uid="{4697A78C-DB48-4041-A143-812DD608F9E1}"/>
    <cellStyle name="Comma 4 2 2 2 2 5 4" xfId="10063" xr:uid="{512342C9-F56D-439A-8083-5B70B803D41F}"/>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31FD3F9A-6F66-4996-823C-93EFD41A44C9}"/>
    <cellStyle name="Comma 4 2 2 2 2 6 2 3" xfId="12621" xr:uid="{195EF4F5-8BD8-457B-8CDB-169865E91343}"/>
    <cellStyle name="Comma 4 2 2 2 2 6 3" xfId="6255" xr:uid="{00000000-0005-0000-0000-0000CC070000}"/>
    <cellStyle name="Comma 4 2 2 2 2 6 3 2" xfId="14694" xr:uid="{15FBB7FF-26B5-4091-A737-46065CC790F8}"/>
    <cellStyle name="Comma 4 2 2 2 2 6 4" xfId="10476" xr:uid="{7409E4AC-944F-4E35-A6D7-EB989D722009}"/>
    <cellStyle name="Comma 4 2 2 2 2 7" xfId="2383" xr:uid="{00000000-0005-0000-0000-0000CD070000}"/>
    <cellStyle name="Comma 4 2 2 2 2 7 2" xfId="6668" xr:uid="{00000000-0005-0000-0000-0000CE070000}"/>
    <cellStyle name="Comma 4 2 2 2 2 7 2 2" xfId="15107" xr:uid="{367BBE1C-282F-4177-A186-C31BA20B0AEE}"/>
    <cellStyle name="Comma 4 2 2 2 2 7 3" xfId="10889" xr:uid="{F713B3F9-F3CB-4F32-9C9C-C2E5D30CAA84}"/>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39754975-698B-4CE6-9A7A-8046BFB382BA}"/>
    <cellStyle name="Comma 4 2 2 2 2 9 3" xfId="11206" xr:uid="{2884F636-3BD6-4302-9479-4864F7E13D44}"/>
    <cellStyle name="Comma 4 2 2 2 3" xfId="131" xr:uid="{00000000-0005-0000-0000-0000D2070000}"/>
    <cellStyle name="Comma 4 2 2 2 3 10" xfId="8825" xr:uid="{63846E4D-EE6C-48BB-BFED-657E72332462}"/>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910DD175-C36B-42EF-B6AD-7722D392BA4D}"/>
    <cellStyle name="Comma 4 2 2 2 3 2 2 3" xfId="11384" xr:uid="{543971DC-6DDF-4D99-907C-4ADD2F659866}"/>
    <cellStyle name="Comma 4 2 2 2 3 2 3" xfId="5018" xr:uid="{00000000-0005-0000-0000-0000D6070000}"/>
    <cellStyle name="Comma 4 2 2 2 3 2 3 2" xfId="13457" xr:uid="{EAFDF715-592F-4EE6-9CD3-AB1EAFBB259B}"/>
    <cellStyle name="Comma 4 2 2 2 3 2 4" xfId="9239" xr:uid="{FCB45924-E48D-49E3-8EE9-C5E0223AA27D}"/>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21293D89-3B32-4EE7-9E65-0E3A6240C077}"/>
    <cellStyle name="Comma 4 2 2 2 3 3 2 3" xfId="11797" xr:uid="{D9C4D7BC-C02A-4AC4-8AC1-CFD51BA4A84F}"/>
    <cellStyle name="Comma 4 2 2 2 3 3 3" xfId="5431" xr:uid="{00000000-0005-0000-0000-0000DA070000}"/>
    <cellStyle name="Comma 4 2 2 2 3 3 3 2" xfId="13870" xr:uid="{61DB0E4B-5160-4F8F-A4F0-206EB93E2C25}"/>
    <cellStyle name="Comma 4 2 2 2 3 3 4" xfId="9652" xr:uid="{303930A9-A9DB-4032-BC5E-A1273EDD5FF0}"/>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B402E3E8-175C-4123-80DC-15AEE31AAA02}"/>
    <cellStyle name="Comma 4 2 2 2 3 4 2 3" xfId="12210" xr:uid="{F30658D9-80CF-4438-87F4-2EBF68C668AD}"/>
    <cellStyle name="Comma 4 2 2 2 3 4 3" xfId="5844" xr:uid="{00000000-0005-0000-0000-0000DE070000}"/>
    <cellStyle name="Comma 4 2 2 2 3 4 3 2" xfId="14283" xr:uid="{513C90B2-A641-4AAC-95B0-D1AC1784F4F9}"/>
    <cellStyle name="Comma 4 2 2 2 3 4 4" xfId="10065" xr:uid="{6D33A800-1C93-44FF-A1EC-6C12D3661036}"/>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BFB82BD6-9C5E-42F0-BF09-A9C04F451508}"/>
    <cellStyle name="Comma 4 2 2 2 3 5 2 3" xfId="12623" xr:uid="{294DDBF6-7F99-4F8A-BB71-B7869CE53584}"/>
    <cellStyle name="Comma 4 2 2 2 3 5 3" xfId="6257" xr:uid="{00000000-0005-0000-0000-0000E2070000}"/>
    <cellStyle name="Comma 4 2 2 2 3 5 3 2" xfId="14696" xr:uid="{F8D33504-B81F-4EDD-8DBD-8D79E865AEAD}"/>
    <cellStyle name="Comma 4 2 2 2 3 5 4" xfId="10478" xr:uid="{5EB6F130-41D7-461B-AE62-69C6E8001C87}"/>
    <cellStyle name="Comma 4 2 2 2 3 6" xfId="2385" xr:uid="{00000000-0005-0000-0000-0000E3070000}"/>
    <cellStyle name="Comma 4 2 2 2 3 6 2" xfId="6670" xr:uid="{00000000-0005-0000-0000-0000E4070000}"/>
    <cellStyle name="Comma 4 2 2 2 3 6 2 2" xfId="15109" xr:uid="{F5633116-8232-4E60-9934-63A62692D72E}"/>
    <cellStyle name="Comma 4 2 2 2 3 6 3" xfId="10891" xr:uid="{0ADC9967-846C-485A-A914-35DA9D620E91}"/>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84985192-7A93-4830-A037-60183E22BBF9}"/>
    <cellStyle name="Comma 4 2 2 2 3 8 3" xfId="11208" xr:uid="{636A2863-0BF9-438C-BA9D-D015591599E9}"/>
    <cellStyle name="Comma 4 2 2 2 3 9" xfId="4604" xr:uid="{00000000-0005-0000-0000-0000E8070000}"/>
    <cellStyle name="Comma 4 2 2 2 3 9 2" xfId="13043" xr:uid="{87D153C4-E99B-4084-BA02-15E777874C0F}"/>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5CCB7D2F-D40C-42F0-9C00-B6CDD5CA561D}"/>
    <cellStyle name="Comma 4 2 2 2 4 2 3" xfId="11381" xr:uid="{760641D9-EDEC-4811-816D-702D991E276A}"/>
    <cellStyle name="Comma 4 2 2 2 4 3" xfId="5015" xr:uid="{00000000-0005-0000-0000-0000EC070000}"/>
    <cellStyle name="Comma 4 2 2 2 4 3 2" xfId="13454" xr:uid="{4357F61C-F27F-46B8-BA64-43EBF3243642}"/>
    <cellStyle name="Comma 4 2 2 2 4 4" xfId="9236" xr:uid="{20FEEAEA-91E2-4E43-A8E2-59259833A5FE}"/>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AD487A80-507D-4EF6-8731-E0F94F345502}"/>
    <cellStyle name="Comma 4 2 2 2 5 2 3" xfId="11794" xr:uid="{130C2529-6F6D-49CA-AE7D-507091E78AAD}"/>
    <cellStyle name="Comma 4 2 2 2 5 3" xfId="5428" xr:uid="{00000000-0005-0000-0000-0000F0070000}"/>
    <cellStyle name="Comma 4 2 2 2 5 3 2" xfId="13867" xr:uid="{B9ED93DB-B11A-4C51-B01E-4DB8EDDE9B0E}"/>
    <cellStyle name="Comma 4 2 2 2 5 4" xfId="9649" xr:uid="{2191A605-764A-4D9F-84B1-BCCA03648F34}"/>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1DD27C62-330A-4200-B30E-743FEC754FCA}"/>
    <cellStyle name="Comma 4 2 2 2 6 2 3" xfId="12207" xr:uid="{1C5A3AF1-3D1F-4B5B-B7C7-822BC04D22CB}"/>
    <cellStyle name="Comma 4 2 2 2 6 3" xfId="5841" xr:uid="{00000000-0005-0000-0000-0000F4070000}"/>
    <cellStyle name="Comma 4 2 2 2 6 3 2" xfId="14280" xr:uid="{A04AD772-9643-45D1-8102-2BC624092AB9}"/>
    <cellStyle name="Comma 4 2 2 2 6 4" xfId="10062" xr:uid="{95CE5E27-2CC4-4F66-B433-B36794F85BF7}"/>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11D17E0D-F1B4-41C3-A5E3-4A71BF63854B}"/>
    <cellStyle name="Comma 4 2 2 2 7 2 3" xfId="12620" xr:uid="{034C2592-D0DC-41AA-907F-6DC18252AD46}"/>
    <cellStyle name="Comma 4 2 2 2 7 3" xfId="6254" xr:uid="{00000000-0005-0000-0000-0000F8070000}"/>
    <cellStyle name="Comma 4 2 2 2 7 3 2" xfId="14693" xr:uid="{FF5EFBED-2093-4F35-BD6D-5D0A3B5F37C6}"/>
    <cellStyle name="Comma 4 2 2 2 7 4" xfId="10475" xr:uid="{E0F05E57-14E9-45EF-A490-10512DCCD7A0}"/>
    <cellStyle name="Comma 4 2 2 2 8" xfId="2382" xr:uid="{00000000-0005-0000-0000-0000F9070000}"/>
    <cellStyle name="Comma 4 2 2 2 8 2" xfId="6667" xr:uid="{00000000-0005-0000-0000-0000FA070000}"/>
    <cellStyle name="Comma 4 2 2 2 8 2 2" xfId="15106" xr:uid="{D9E8E44C-A894-4923-94D9-E469EF6CDE2E}"/>
    <cellStyle name="Comma 4 2 2 2 8 3" xfId="10888" xr:uid="{6C1EDE35-7E4A-46EE-9330-AFFBA75E72AE}"/>
    <cellStyle name="Comma 4 2 2 2 9" xfId="2381" xr:uid="{00000000-0005-0000-0000-0000FB070000}"/>
    <cellStyle name="Comma 4 2 2 3" xfId="132" xr:uid="{00000000-0005-0000-0000-0000FC070000}"/>
    <cellStyle name="Comma 4 2 2 3 10" xfId="4605" xr:uid="{00000000-0005-0000-0000-0000FD070000}"/>
    <cellStyle name="Comma 4 2 2 3 10 2" xfId="13044" xr:uid="{DEC3B675-6BAA-40BE-A098-6A9D7CBA1D8A}"/>
    <cellStyle name="Comma 4 2 2 3 11" xfId="8826" xr:uid="{CDAB1EB7-ACDC-45D5-93DB-7092D880BB41}"/>
    <cellStyle name="Comma 4 2 2 3 2" xfId="133" xr:uid="{00000000-0005-0000-0000-0000FE070000}"/>
    <cellStyle name="Comma 4 2 2 3 2 10" xfId="8827" xr:uid="{B0A0B3A0-F758-4E98-BFA6-1AE194E29209}"/>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EDA75C6A-8EBE-4BF5-9021-E79004700239}"/>
    <cellStyle name="Comma 4 2 2 3 2 2 2 3" xfId="11386" xr:uid="{100208FF-1F8A-4604-9378-702F67978E22}"/>
    <cellStyle name="Comma 4 2 2 3 2 2 3" xfId="5020" xr:uid="{00000000-0005-0000-0000-000002080000}"/>
    <cellStyle name="Comma 4 2 2 3 2 2 3 2" xfId="13459" xr:uid="{8C286EC0-3F4D-4481-8B98-3A7B813653F4}"/>
    <cellStyle name="Comma 4 2 2 3 2 2 4" xfId="9241" xr:uid="{513073F5-2C4E-422E-8CF2-6AF3C1FF8E94}"/>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4EA4E341-07A2-4385-AE3B-0026799BF38F}"/>
    <cellStyle name="Comma 4 2 2 3 2 3 2 3" xfId="11799" xr:uid="{6C3131C9-A1AB-45E9-9720-5984CEA66147}"/>
    <cellStyle name="Comma 4 2 2 3 2 3 3" xfId="5433" xr:uid="{00000000-0005-0000-0000-000006080000}"/>
    <cellStyle name="Comma 4 2 2 3 2 3 3 2" xfId="13872" xr:uid="{5DA85A28-1A92-4159-96AA-607E0357320C}"/>
    <cellStyle name="Comma 4 2 2 3 2 3 4" xfId="9654" xr:uid="{C5CC9B47-8B59-4A2F-A004-BD1C440BA506}"/>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181AF2A3-0B3B-4C1B-A076-27896CF7737E}"/>
    <cellStyle name="Comma 4 2 2 3 2 4 2 3" xfId="12212" xr:uid="{4F6A2C00-ACD1-4F71-9AF0-86082C14A352}"/>
    <cellStyle name="Comma 4 2 2 3 2 4 3" xfId="5846" xr:uid="{00000000-0005-0000-0000-00000A080000}"/>
    <cellStyle name="Comma 4 2 2 3 2 4 3 2" xfId="14285" xr:uid="{2852BF0E-283E-4D0F-BD23-CB5B4778510D}"/>
    <cellStyle name="Comma 4 2 2 3 2 4 4" xfId="10067" xr:uid="{E4129CF9-2A71-4493-B2C1-F2B5067320B4}"/>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D605C47B-A756-42A9-BB89-6C3E7C77D393}"/>
    <cellStyle name="Comma 4 2 2 3 2 5 2 3" xfId="12625" xr:uid="{E2DA5405-1304-4E20-AC57-E6FD69869B75}"/>
    <cellStyle name="Comma 4 2 2 3 2 5 3" xfId="6259" xr:uid="{00000000-0005-0000-0000-00000E080000}"/>
    <cellStyle name="Comma 4 2 2 3 2 5 3 2" xfId="14698" xr:uid="{A66A2FF4-52C9-446A-B55B-08930EC7140E}"/>
    <cellStyle name="Comma 4 2 2 3 2 5 4" xfId="10480" xr:uid="{31D4805C-622F-4C43-8A1A-2D5E72DAA6DE}"/>
    <cellStyle name="Comma 4 2 2 3 2 6" xfId="2387" xr:uid="{00000000-0005-0000-0000-00000F080000}"/>
    <cellStyle name="Comma 4 2 2 3 2 6 2" xfId="6672" xr:uid="{00000000-0005-0000-0000-000010080000}"/>
    <cellStyle name="Comma 4 2 2 3 2 6 2 2" xfId="15111" xr:uid="{38F31BC3-54EE-4C4E-9A85-E0F376437951}"/>
    <cellStyle name="Comma 4 2 2 3 2 6 3" xfId="10893" xr:uid="{30478E14-994D-462C-BFCA-A6028EBFE84C}"/>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638A3563-7E20-4FBD-8234-E3DCA1841BCE}"/>
    <cellStyle name="Comma 4 2 2 3 2 8 3" xfId="11210" xr:uid="{30D7545C-FFA9-4836-BDAD-A0A6C3275F06}"/>
    <cellStyle name="Comma 4 2 2 3 2 9" xfId="4606" xr:uid="{00000000-0005-0000-0000-000014080000}"/>
    <cellStyle name="Comma 4 2 2 3 2 9 2" xfId="13045" xr:uid="{25F7F4AC-5F00-4865-8EBB-279AB1F71667}"/>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E5FD3661-3115-4FCF-B41C-D93FC99358DA}"/>
    <cellStyle name="Comma 4 2 2 3 3 2 3" xfId="11385" xr:uid="{796B176F-4B6F-4328-B09D-12DBA5D7F0B8}"/>
    <cellStyle name="Comma 4 2 2 3 3 3" xfId="5019" xr:uid="{00000000-0005-0000-0000-000018080000}"/>
    <cellStyle name="Comma 4 2 2 3 3 3 2" xfId="13458" xr:uid="{EA24F8CA-1A84-45A7-BF37-A93A150560DA}"/>
    <cellStyle name="Comma 4 2 2 3 3 4" xfId="9240" xr:uid="{B1E8A4CF-4DE4-4E91-A751-5BD72A0EBB16}"/>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C5BD64F5-4085-4DD3-9107-67BDFC04940D}"/>
    <cellStyle name="Comma 4 2 2 3 4 2 3" xfId="11798" xr:uid="{C7168777-0C02-45EC-B303-BD6E258E70C5}"/>
    <cellStyle name="Comma 4 2 2 3 4 3" xfId="5432" xr:uid="{00000000-0005-0000-0000-00001C080000}"/>
    <cellStyle name="Comma 4 2 2 3 4 3 2" xfId="13871" xr:uid="{88D9726A-2F9E-4DE3-99C5-3A87EC56299B}"/>
    <cellStyle name="Comma 4 2 2 3 4 4" xfId="9653" xr:uid="{F33E36BF-57FF-4872-B903-8B29C85D9538}"/>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A6CC8874-5C1D-4D15-803C-5A04673259AC}"/>
    <cellStyle name="Comma 4 2 2 3 5 2 3" xfId="12211" xr:uid="{40AC1788-E3F8-4F05-93B2-1CFCC1918326}"/>
    <cellStyle name="Comma 4 2 2 3 5 3" xfId="5845" xr:uid="{00000000-0005-0000-0000-000020080000}"/>
    <cellStyle name="Comma 4 2 2 3 5 3 2" xfId="14284" xr:uid="{7E6E0FDB-20D0-46B0-9916-EABBC49BFCBE}"/>
    <cellStyle name="Comma 4 2 2 3 5 4" xfId="10066" xr:uid="{1E7109DB-1978-4534-B3DF-EE998B466858}"/>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6E0AB909-53DB-4A02-A285-08783243FBCD}"/>
    <cellStyle name="Comma 4 2 2 3 6 2 3" xfId="12624" xr:uid="{8B785830-29E6-4656-889D-CE57FE4CA27E}"/>
    <cellStyle name="Comma 4 2 2 3 6 3" xfId="6258" xr:uid="{00000000-0005-0000-0000-000024080000}"/>
    <cellStyle name="Comma 4 2 2 3 6 3 2" xfId="14697" xr:uid="{8CDD2771-0776-4A4C-B748-2CDED06D188A}"/>
    <cellStyle name="Comma 4 2 2 3 6 4" xfId="10479" xr:uid="{DB68A50B-4BFB-49C1-BF03-C6A6D89C2CFB}"/>
    <cellStyle name="Comma 4 2 2 3 7" xfId="2386" xr:uid="{00000000-0005-0000-0000-000025080000}"/>
    <cellStyle name="Comma 4 2 2 3 7 2" xfId="6671" xr:uid="{00000000-0005-0000-0000-000026080000}"/>
    <cellStyle name="Comma 4 2 2 3 7 2 2" xfId="15110" xr:uid="{2D377A4C-68E2-45A5-B0DC-1B37FE598246}"/>
    <cellStyle name="Comma 4 2 2 3 7 3" xfId="10892" xr:uid="{83B7C792-A878-46FC-A0AA-7FECD3174127}"/>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D76507A8-DA9B-450B-A03B-45A81A9E6E00}"/>
    <cellStyle name="Comma 4 2 2 3 9 3" xfId="11209" xr:uid="{F545FB54-4619-4071-A76A-9ACDC80A629E}"/>
    <cellStyle name="Comma 4 2 2 4" xfId="134" xr:uid="{00000000-0005-0000-0000-00002A080000}"/>
    <cellStyle name="Comma 4 2 2 4 10" xfId="8828" xr:uid="{72D4AE03-47D0-4E0F-894B-028E88B8BEC6}"/>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460D9F24-6276-4AA0-9B2C-F3C89C9FA92D}"/>
    <cellStyle name="Comma 4 2 2 4 2 2 3" xfId="11387" xr:uid="{9270036A-542F-49EF-AD25-6E39D36A5269}"/>
    <cellStyle name="Comma 4 2 2 4 2 3" xfId="5021" xr:uid="{00000000-0005-0000-0000-00002E080000}"/>
    <cellStyle name="Comma 4 2 2 4 2 3 2" xfId="13460" xr:uid="{22E833D7-1D35-49C2-949E-B02274B9ACEC}"/>
    <cellStyle name="Comma 4 2 2 4 2 4" xfId="9242" xr:uid="{84BC9593-DE2C-46A7-85A4-A33232812CC6}"/>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4CCD2019-7F78-41E2-AAE5-E2DFC313B8C0}"/>
    <cellStyle name="Comma 4 2 2 4 3 2 3" xfId="11800" xr:uid="{AD2DE350-751D-47FC-BF92-BE39C35FED07}"/>
    <cellStyle name="Comma 4 2 2 4 3 3" xfId="5434" xr:uid="{00000000-0005-0000-0000-000032080000}"/>
    <cellStyle name="Comma 4 2 2 4 3 3 2" xfId="13873" xr:uid="{F8DDCC68-C538-46E4-9F64-B066B70A5997}"/>
    <cellStyle name="Comma 4 2 2 4 3 4" xfId="9655" xr:uid="{0C7BD4B1-7007-4F01-8C84-06536B1DF3ED}"/>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4EA81A09-150C-4F0C-A64C-5393CF707DA9}"/>
    <cellStyle name="Comma 4 2 2 4 4 2 3" xfId="12213" xr:uid="{9C0D22BB-A00D-47AE-8731-5B6D0515A1BE}"/>
    <cellStyle name="Comma 4 2 2 4 4 3" xfId="5847" xr:uid="{00000000-0005-0000-0000-000036080000}"/>
    <cellStyle name="Comma 4 2 2 4 4 3 2" xfId="14286" xr:uid="{0A347234-A332-4CA3-9FAB-6820073B8A8F}"/>
    <cellStyle name="Comma 4 2 2 4 4 4" xfId="10068" xr:uid="{80409F7E-7B6D-49BA-9916-762CD0B29B35}"/>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F58C463B-22E2-4C75-A6AE-087FE3B1200B}"/>
    <cellStyle name="Comma 4 2 2 4 5 2 3" xfId="12626" xr:uid="{87C5E00D-697E-41D2-BC80-AB348CE96F40}"/>
    <cellStyle name="Comma 4 2 2 4 5 3" xfId="6260" xr:uid="{00000000-0005-0000-0000-00003A080000}"/>
    <cellStyle name="Comma 4 2 2 4 5 3 2" xfId="14699" xr:uid="{0113AEE9-4910-42D5-999B-B3150398BA82}"/>
    <cellStyle name="Comma 4 2 2 4 5 4" xfId="10481" xr:uid="{A390CA97-3C4F-4E2C-8C50-A39809CE6BD4}"/>
    <cellStyle name="Comma 4 2 2 4 6" xfId="2388" xr:uid="{00000000-0005-0000-0000-00003B080000}"/>
    <cellStyle name="Comma 4 2 2 4 6 2" xfId="6673" xr:uid="{00000000-0005-0000-0000-00003C080000}"/>
    <cellStyle name="Comma 4 2 2 4 6 2 2" xfId="15112" xr:uid="{273E1C7F-7B1A-4D9F-B545-A1002302D01F}"/>
    <cellStyle name="Comma 4 2 2 4 6 3" xfId="10894" xr:uid="{442CDE48-AA8B-4E34-9648-6EFCD428A335}"/>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9BC92F8F-DA33-419A-8CB5-766748340127}"/>
    <cellStyle name="Comma 4 2 2 4 8 3" xfId="11211" xr:uid="{E10EEF06-4BA5-4339-B0A0-ECD9413C34A9}"/>
    <cellStyle name="Comma 4 2 2 4 9" xfId="4607" xr:uid="{00000000-0005-0000-0000-000040080000}"/>
    <cellStyle name="Comma 4 2 2 4 9 2" xfId="13046" xr:uid="{E2652084-EF1B-47B7-A48F-046488EE8DA9}"/>
    <cellStyle name="Comma 4 2 2 5" xfId="135" xr:uid="{00000000-0005-0000-0000-000041080000}"/>
    <cellStyle name="Comma 4 2 2 5 10" xfId="8829" xr:uid="{5BF8D3D8-18B1-4F42-8EB2-3C61756FD3B3}"/>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AFA97C2E-803B-4FE3-B383-A55F0FBEC8F5}"/>
    <cellStyle name="Comma 4 2 2 5 2 2 3" xfId="11388" xr:uid="{6B3097BC-9E84-487F-9263-AD9D0AE74290}"/>
    <cellStyle name="Comma 4 2 2 5 2 3" xfId="5022" xr:uid="{00000000-0005-0000-0000-000045080000}"/>
    <cellStyle name="Comma 4 2 2 5 2 3 2" xfId="13461" xr:uid="{ACAC2955-7B81-45C8-AF9C-09ED554E7D5D}"/>
    <cellStyle name="Comma 4 2 2 5 2 4" xfId="9243" xr:uid="{0C33DDD1-54CB-4BFE-9BCA-EBCB01F54806}"/>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982FF289-259C-4133-A2F6-61A6F41719B3}"/>
    <cellStyle name="Comma 4 2 2 5 3 2 3" xfId="11801" xr:uid="{E6E20241-4893-452F-A19D-A5CA7F4649DC}"/>
    <cellStyle name="Comma 4 2 2 5 3 3" xfId="5435" xr:uid="{00000000-0005-0000-0000-000049080000}"/>
    <cellStyle name="Comma 4 2 2 5 3 3 2" xfId="13874" xr:uid="{5409F95E-3023-4BDD-8CE2-EC6128C97499}"/>
    <cellStyle name="Comma 4 2 2 5 3 4" xfId="9656" xr:uid="{61AEB06A-580B-40E9-B48C-86342C7FA1B6}"/>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E6FE6545-21E5-477E-9005-0B3F46EF263F}"/>
    <cellStyle name="Comma 4 2 2 5 4 2 3" xfId="12214" xr:uid="{10745328-6989-4CC0-A695-53BCCAD03C8C}"/>
    <cellStyle name="Comma 4 2 2 5 4 3" xfId="5848" xr:uid="{00000000-0005-0000-0000-00004D080000}"/>
    <cellStyle name="Comma 4 2 2 5 4 3 2" xfId="14287" xr:uid="{8D4BB59F-9686-463A-AF73-361053C1FFE9}"/>
    <cellStyle name="Comma 4 2 2 5 4 4" xfId="10069" xr:uid="{C2BC62B7-D838-4C46-80BA-8E8575862BFF}"/>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343AEF0D-DF34-46B1-B977-0F709DEEDDD0}"/>
    <cellStyle name="Comma 4 2 2 5 5 2 3" xfId="12627" xr:uid="{32A95775-F555-4604-A4E0-9F8B600E5497}"/>
    <cellStyle name="Comma 4 2 2 5 5 3" xfId="6261" xr:uid="{00000000-0005-0000-0000-000051080000}"/>
    <cellStyle name="Comma 4 2 2 5 5 3 2" xfId="14700" xr:uid="{D81810F4-2946-4755-87A3-D55270DD20FF}"/>
    <cellStyle name="Comma 4 2 2 5 5 4" xfId="10482" xr:uid="{0F0ED32E-2B20-4F2D-AEA3-79C5560BB178}"/>
    <cellStyle name="Comma 4 2 2 5 6" xfId="2389" xr:uid="{00000000-0005-0000-0000-000052080000}"/>
    <cellStyle name="Comma 4 2 2 5 6 2" xfId="6674" xr:uid="{00000000-0005-0000-0000-000053080000}"/>
    <cellStyle name="Comma 4 2 2 5 6 2 2" xfId="15113" xr:uid="{7C41CA63-D31C-414D-AA58-808F93828AB5}"/>
    <cellStyle name="Comma 4 2 2 5 6 3" xfId="10895" xr:uid="{A857CCE6-7330-4D74-9E2B-45EE03707AA4}"/>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9AEA6067-4D25-48F8-8A99-624A115CECD5}"/>
    <cellStyle name="Comma 4 2 2 5 8 3" xfId="11212" xr:uid="{F782F443-FEDD-4B28-B489-85259F3E8371}"/>
    <cellStyle name="Comma 4 2 2 5 9" xfId="4608" xr:uid="{00000000-0005-0000-0000-000057080000}"/>
    <cellStyle name="Comma 4 2 2 5 9 2" xfId="13047" xr:uid="{80571C88-409D-47BC-B78A-F51EA6149391}"/>
    <cellStyle name="Comma 4 2 3" xfId="136" xr:uid="{00000000-0005-0000-0000-000058080000}"/>
    <cellStyle name="Comma 4 2 3 10" xfId="2768" xr:uid="{00000000-0005-0000-0000-000059080000}"/>
    <cellStyle name="Comma 4 2 3 10 2" xfId="6992" xr:uid="{00000000-0005-0000-0000-00005A080000}"/>
    <cellStyle name="Comma 4 2 3 10 2 2" xfId="15431" xr:uid="{91EBF7B0-AA7A-45D2-9C86-E0D8449401A0}"/>
    <cellStyle name="Comma 4 2 3 10 3" xfId="11213" xr:uid="{544761E9-971E-44D2-A7C0-DBCD29B63260}"/>
    <cellStyle name="Comma 4 2 3 11" xfId="4609" xr:uid="{00000000-0005-0000-0000-00005B080000}"/>
    <cellStyle name="Comma 4 2 3 11 2" xfId="13048" xr:uid="{35A2C485-759B-4805-AE12-78790E060503}"/>
    <cellStyle name="Comma 4 2 3 12" xfId="8830" xr:uid="{366026C1-C45E-4EE6-82B6-FA7176A96CC0}"/>
    <cellStyle name="Comma 4 2 3 2" xfId="137" xr:uid="{00000000-0005-0000-0000-00005C080000}"/>
    <cellStyle name="Comma 4 2 3 2 10" xfId="4610" xr:uid="{00000000-0005-0000-0000-00005D080000}"/>
    <cellStyle name="Comma 4 2 3 2 10 2" xfId="13049" xr:uid="{62F4AEF3-0E5D-465B-901A-B44ACB31D44D}"/>
    <cellStyle name="Comma 4 2 3 2 11" xfId="8831" xr:uid="{271CF1FF-70A2-4E9B-B5D2-99F83CDCFDEC}"/>
    <cellStyle name="Comma 4 2 3 2 2" xfId="138" xr:uid="{00000000-0005-0000-0000-00005E080000}"/>
    <cellStyle name="Comma 4 2 3 2 2 10" xfId="8832" xr:uid="{DEC80B64-4F23-462B-B650-2A0A52E9D841}"/>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E27C9064-92EF-4702-8A2D-5BFC2C1EEAA0}"/>
    <cellStyle name="Comma 4 2 3 2 2 2 2 3" xfId="11391" xr:uid="{04FE02BB-CEE9-4453-BFBF-34FBE166B595}"/>
    <cellStyle name="Comma 4 2 3 2 2 2 3" xfId="5025" xr:uid="{00000000-0005-0000-0000-000062080000}"/>
    <cellStyle name="Comma 4 2 3 2 2 2 3 2" xfId="13464" xr:uid="{EF7E47E2-688E-4369-BF8E-FB1772DDE52F}"/>
    <cellStyle name="Comma 4 2 3 2 2 2 4" xfId="9246" xr:uid="{44B56EC6-0F67-4AD7-92C5-9D8EC619D158}"/>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70FE95DF-25FF-4CD3-BB4E-2FCE8C2F9CAA}"/>
    <cellStyle name="Comma 4 2 3 2 2 3 2 3" xfId="11804" xr:uid="{29C8A1F2-E56D-4F3C-9FA2-6A2D9BFF837F}"/>
    <cellStyle name="Comma 4 2 3 2 2 3 3" xfId="5438" xr:uid="{00000000-0005-0000-0000-000066080000}"/>
    <cellStyle name="Comma 4 2 3 2 2 3 3 2" xfId="13877" xr:uid="{5A4C8D4D-40FA-42D1-8DC5-04075A2D59AE}"/>
    <cellStyle name="Comma 4 2 3 2 2 3 4" xfId="9659" xr:uid="{8D9115A2-1E35-41E8-8096-9058F8A8585F}"/>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A78E2FA7-272C-47B8-96E0-419B8C1E8353}"/>
    <cellStyle name="Comma 4 2 3 2 2 4 2 3" xfId="12217" xr:uid="{0C48381B-94F4-4313-9FE5-59B1F31EA279}"/>
    <cellStyle name="Comma 4 2 3 2 2 4 3" xfId="5851" xr:uid="{00000000-0005-0000-0000-00006A080000}"/>
    <cellStyle name="Comma 4 2 3 2 2 4 3 2" xfId="14290" xr:uid="{812B0844-DC2E-4861-86CD-C63261DF8BB8}"/>
    <cellStyle name="Comma 4 2 3 2 2 4 4" xfId="10072" xr:uid="{EC8CB7F5-80F7-4665-8587-748C91A6FF8C}"/>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030751B4-53F2-4CD7-B36B-C131B0044532}"/>
    <cellStyle name="Comma 4 2 3 2 2 5 2 3" xfId="12630" xr:uid="{6B8604AD-D8F2-4E6A-9801-33A7911552A2}"/>
    <cellStyle name="Comma 4 2 3 2 2 5 3" xfId="6264" xr:uid="{00000000-0005-0000-0000-00006E080000}"/>
    <cellStyle name="Comma 4 2 3 2 2 5 3 2" xfId="14703" xr:uid="{DEB3CD85-9B87-4335-87D7-8C763BAB31CD}"/>
    <cellStyle name="Comma 4 2 3 2 2 5 4" xfId="10485" xr:uid="{60D4AE79-134C-4B66-8277-EC5BD43D5067}"/>
    <cellStyle name="Comma 4 2 3 2 2 6" xfId="2392" xr:uid="{00000000-0005-0000-0000-00006F080000}"/>
    <cellStyle name="Comma 4 2 3 2 2 6 2" xfId="6677" xr:uid="{00000000-0005-0000-0000-000070080000}"/>
    <cellStyle name="Comma 4 2 3 2 2 6 2 2" xfId="15116" xr:uid="{BA83C2FA-EDAF-4E4E-A50D-5D1C1185C712}"/>
    <cellStyle name="Comma 4 2 3 2 2 6 3" xfId="10898" xr:uid="{9089F70A-13BF-4BAC-BB7A-7C9DC3A228CE}"/>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EC79E8F4-4032-4597-9C48-6BF7A095477D}"/>
    <cellStyle name="Comma 4 2 3 2 2 8 3" xfId="11215" xr:uid="{C9C6A384-4C2B-48A1-82AA-2B36554D4205}"/>
    <cellStyle name="Comma 4 2 3 2 2 9" xfId="4611" xr:uid="{00000000-0005-0000-0000-000074080000}"/>
    <cellStyle name="Comma 4 2 3 2 2 9 2" xfId="13050" xr:uid="{F879F028-80ED-4901-B1B4-675583AECCEB}"/>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A4DB3C6E-7FA9-4C8E-88B1-BE423A18594C}"/>
    <cellStyle name="Comma 4 2 3 2 3 2 3" xfId="11390" xr:uid="{00E40650-EAD4-4D63-B7DF-4AE39B1957A0}"/>
    <cellStyle name="Comma 4 2 3 2 3 3" xfId="5024" xr:uid="{00000000-0005-0000-0000-000078080000}"/>
    <cellStyle name="Comma 4 2 3 2 3 3 2" xfId="13463" xr:uid="{BFDCAC76-8CDC-4B42-BDE4-B2D7B0657567}"/>
    <cellStyle name="Comma 4 2 3 2 3 4" xfId="9245" xr:uid="{D934F7A0-D558-465A-91D3-CC07BF340C79}"/>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5459F4B3-4467-4490-AC47-7D47CE5F5F9F}"/>
    <cellStyle name="Comma 4 2 3 2 4 2 3" xfId="11803" xr:uid="{341DBCEE-07EE-4ECE-850D-91F6A3468A8E}"/>
    <cellStyle name="Comma 4 2 3 2 4 3" xfId="5437" xr:uid="{00000000-0005-0000-0000-00007C080000}"/>
    <cellStyle name="Comma 4 2 3 2 4 3 2" xfId="13876" xr:uid="{39F9D67C-E57A-4C40-8314-9DBC282089CB}"/>
    <cellStyle name="Comma 4 2 3 2 4 4" xfId="9658" xr:uid="{8BE1B82F-D7CD-4156-BA32-F4AD66D3A48C}"/>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BAB98CCF-FC15-4D4D-ACCE-2A108B5DE055}"/>
    <cellStyle name="Comma 4 2 3 2 5 2 3" xfId="12216" xr:uid="{7067473B-F00D-426B-8CDC-B1A4A99E6030}"/>
    <cellStyle name="Comma 4 2 3 2 5 3" xfId="5850" xr:uid="{00000000-0005-0000-0000-000080080000}"/>
    <cellStyle name="Comma 4 2 3 2 5 3 2" xfId="14289" xr:uid="{425C1C2D-9D2E-42A1-BB5B-518A4BCA5332}"/>
    <cellStyle name="Comma 4 2 3 2 5 4" xfId="10071" xr:uid="{AF33D9DE-7B6C-4F20-AEFB-201F9A0B9635}"/>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FC744487-A3B2-4B1B-8837-F661E6D1B49E}"/>
    <cellStyle name="Comma 4 2 3 2 6 2 3" xfId="12629" xr:uid="{AECF3450-4720-453F-947A-908A3ED20D88}"/>
    <cellStyle name="Comma 4 2 3 2 6 3" xfId="6263" xr:uid="{00000000-0005-0000-0000-000084080000}"/>
    <cellStyle name="Comma 4 2 3 2 6 3 2" xfId="14702" xr:uid="{3853457B-B309-4EB7-90CF-6F94E40A792F}"/>
    <cellStyle name="Comma 4 2 3 2 6 4" xfId="10484" xr:uid="{58E5E374-3478-4A75-97B9-D4DAC5E03DD9}"/>
    <cellStyle name="Comma 4 2 3 2 7" xfId="2391" xr:uid="{00000000-0005-0000-0000-000085080000}"/>
    <cellStyle name="Comma 4 2 3 2 7 2" xfId="6676" xr:uid="{00000000-0005-0000-0000-000086080000}"/>
    <cellStyle name="Comma 4 2 3 2 7 2 2" xfId="15115" xr:uid="{22B2F880-AB12-4A4A-9CA2-468E849E9423}"/>
    <cellStyle name="Comma 4 2 3 2 7 3" xfId="10897" xr:uid="{158F3540-3CDE-44A3-A7CD-CF735970EB41}"/>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85885119-3646-4431-BDC9-E202FC3987C9}"/>
    <cellStyle name="Comma 4 2 3 2 9 3" xfId="11214" xr:uid="{CABBA376-797E-4902-95FD-3AEDD942EF42}"/>
    <cellStyle name="Comma 4 2 3 3" xfId="139" xr:uid="{00000000-0005-0000-0000-00008A080000}"/>
    <cellStyle name="Comma 4 2 3 3 10" xfId="8833" xr:uid="{8E77BAF5-7102-4AC0-AD9D-31CBE1CECCCF}"/>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A320BB8D-81C2-4747-B01C-44C00B28EB74}"/>
    <cellStyle name="Comma 4 2 3 3 2 2 3" xfId="11392" xr:uid="{8074AEA2-0AB1-4B16-A7D1-58E261945410}"/>
    <cellStyle name="Comma 4 2 3 3 2 3" xfId="5026" xr:uid="{00000000-0005-0000-0000-00008E080000}"/>
    <cellStyle name="Comma 4 2 3 3 2 3 2" xfId="13465" xr:uid="{DD8935EA-587A-41AA-90FF-EA4C786745A3}"/>
    <cellStyle name="Comma 4 2 3 3 2 4" xfId="9247" xr:uid="{B8A7F912-2FDB-4BA3-8FB7-B5E186D8EBA8}"/>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89D82E73-B07D-43E2-A895-03D4A47016B5}"/>
    <cellStyle name="Comma 4 2 3 3 3 2 3" xfId="11805" xr:uid="{CAFC9899-0CA7-413C-8941-89DC4648184E}"/>
    <cellStyle name="Comma 4 2 3 3 3 3" xfId="5439" xr:uid="{00000000-0005-0000-0000-000092080000}"/>
    <cellStyle name="Comma 4 2 3 3 3 3 2" xfId="13878" xr:uid="{DAAF7378-1DD9-42F6-8721-6DDBB4346999}"/>
    <cellStyle name="Comma 4 2 3 3 3 4" xfId="9660" xr:uid="{26F44C9F-0A31-4231-8779-68BDE1C33714}"/>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8E05DA8C-F67E-4FA1-AF95-11B93634CD14}"/>
    <cellStyle name="Comma 4 2 3 3 4 2 3" xfId="12218" xr:uid="{ABD1F10B-14BE-446F-A113-A3C143D97F49}"/>
    <cellStyle name="Comma 4 2 3 3 4 3" xfId="5852" xr:uid="{00000000-0005-0000-0000-000096080000}"/>
    <cellStyle name="Comma 4 2 3 3 4 3 2" xfId="14291" xr:uid="{0A473830-68AB-4E4D-A9D0-D69395C6D0AA}"/>
    <cellStyle name="Comma 4 2 3 3 4 4" xfId="10073" xr:uid="{17394965-9C04-4E09-9C11-A3FAC0861618}"/>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3B6A7FD5-1EF1-4FBB-B7EA-E4E9DBE467CD}"/>
    <cellStyle name="Comma 4 2 3 3 5 2 3" xfId="12631" xr:uid="{6D5210C9-DD4B-40A7-B492-CB2010BE658A}"/>
    <cellStyle name="Comma 4 2 3 3 5 3" xfId="6265" xr:uid="{00000000-0005-0000-0000-00009A080000}"/>
    <cellStyle name="Comma 4 2 3 3 5 3 2" xfId="14704" xr:uid="{60CE0A72-C0E7-402D-9B69-701472EBB589}"/>
    <cellStyle name="Comma 4 2 3 3 5 4" xfId="10486" xr:uid="{929333D4-B236-47BA-863C-3045421C23F2}"/>
    <cellStyle name="Comma 4 2 3 3 6" xfId="2393" xr:uid="{00000000-0005-0000-0000-00009B080000}"/>
    <cellStyle name="Comma 4 2 3 3 6 2" xfId="6678" xr:uid="{00000000-0005-0000-0000-00009C080000}"/>
    <cellStyle name="Comma 4 2 3 3 6 2 2" xfId="15117" xr:uid="{2F21BDD9-FCE4-4608-9925-AB570F4247B9}"/>
    <cellStyle name="Comma 4 2 3 3 6 3" xfId="10899" xr:uid="{5FB10ED5-AA99-4DF2-9F16-1462B0F3FB67}"/>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FFE83B56-70DB-4DB4-887B-9A42052F52F6}"/>
    <cellStyle name="Comma 4 2 3 3 8 3" xfId="11216" xr:uid="{4B81E988-5BCD-40FB-B79D-E22106046A87}"/>
    <cellStyle name="Comma 4 2 3 3 9" xfId="4612" xr:uid="{00000000-0005-0000-0000-0000A0080000}"/>
    <cellStyle name="Comma 4 2 3 3 9 2" xfId="13051" xr:uid="{093314D2-1439-4CCF-B1C1-D8F53D55403E}"/>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BF7938DA-E744-49C5-A964-41D13DFFAA99}"/>
    <cellStyle name="Comma 4 2 3 4 2 3" xfId="11389" xr:uid="{7A83A40C-70ED-4A1B-95EF-B53A51DB9880}"/>
    <cellStyle name="Comma 4 2 3 4 3" xfId="5023" xr:uid="{00000000-0005-0000-0000-0000A4080000}"/>
    <cellStyle name="Comma 4 2 3 4 3 2" xfId="13462" xr:uid="{5034C475-0089-4688-B6F1-960C67A1B128}"/>
    <cellStyle name="Comma 4 2 3 4 4" xfId="9244" xr:uid="{591E4679-3943-4539-B10B-1F540AA929AA}"/>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89936EB6-97E5-486E-A074-6C5B22F429FD}"/>
    <cellStyle name="Comma 4 2 3 5 2 3" xfId="11802" xr:uid="{7ABB706E-584F-4931-B2E3-274CF3A5CBCD}"/>
    <cellStyle name="Comma 4 2 3 5 3" xfId="5436" xr:uid="{00000000-0005-0000-0000-0000A8080000}"/>
    <cellStyle name="Comma 4 2 3 5 3 2" xfId="13875" xr:uid="{AF5E1093-86F6-4C4F-9E42-BDAC12F97797}"/>
    <cellStyle name="Comma 4 2 3 5 4" xfId="9657" xr:uid="{EE9E24C6-6CAB-4B6F-9181-ACF6739EF15E}"/>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8A40EE56-940E-46E4-9DB9-24CE1B3F28A8}"/>
    <cellStyle name="Comma 4 2 3 6 2 3" xfId="12215" xr:uid="{13F57092-DB35-4A67-85FD-17BE7FC20697}"/>
    <cellStyle name="Comma 4 2 3 6 3" xfId="5849" xr:uid="{00000000-0005-0000-0000-0000AC080000}"/>
    <cellStyle name="Comma 4 2 3 6 3 2" xfId="14288" xr:uid="{DB65C02F-DE26-4852-9B52-00A5C3D1EA0D}"/>
    <cellStyle name="Comma 4 2 3 6 4" xfId="10070" xr:uid="{EF1CC553-563D-4F3A-AE82-806BAEBE4DDA}"/>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63CEB5C6-DAE0-43F4-A08D-942B11A2F992}"/>
    <cellStyle name="Comma 4 2 3 7 2 3" xfId="12628" xr:uid="{F15D8425-A939-47B4-B8B5-2AF399CFCB51}"/>
    <cellStyle name="Comma 4 2 3 7 3" xfId="6262" xr:uid="{00000000-0005-0000-0000-0000B0080000}"/>
    <cellStyle name="Comma 4 2 3 7 3 2" xfId="14701" xr:uid="{24A86C15-A0C0-4697-B308-2752509596F3}"/>
    <cellStyle name="Comma 4 2 3 7 4" xfId="10483" xr:uid="{94175070-E06D-4B0E-9B93-B4387008DC24}"/>
    <cellStyle name="Comma 4 2 3 8" xfId="2390" xr:uid="{00000000-0005-0000-0000-0000B1080000}"/>
    <cellStyle name="Comma 4 2 3 8 2" xfId="6675" xr:uid="{00000000-0005-0000-0000-0000B2080000}"/>
    <cellStyle name="Comma 4 2 3 8 2 2" xfId="15114" xr:uid="{50145E97-EC14-46D7-A06B-B35953FEA063}"/>
    <cellStyle name="Comma 4 2 3 8 3" xfId="10896" xr:uid="{6FC88D45-BF49-4E3C-AAB0-739826B33C8D}"/>
    <cellStyle name="Comma 4 2 3 9" xfId="2373" xr:uid="{00000000-0005-0000-0000-0000B3080000}"/>
    <cellStyle name="Comma 4 2 4" xfId="140" xr:uid="{00000000-0005-0000-0000-0000B4080000}"/>
    <cellStyle name="Comma 4 2 4 10" xfId="4613" xr:uid="{00000000-0005-0000-0000-0000B5080000}"/>
    <cellStyle name="Comma 4 2 4 10 2" xfId="13052" xr:uid="{D331BF0A-7890-4093-9B1B-A2C994C1B5D9}"/>
    <cellStyle name="Comma 4 2 4 11" xfId="8834" xr:uid="{6D314DEC-321D-40DE-AB2E-1EC65CDE59DB}"/>
    <cellStyle name="Comma 4 2 4 2" xfId="141" xr:uid="{00000000-0005-0000-0000-0000B6080000}"/>
    <cellStyle name="Comma 4 2 4 2 10" xfId="8835" xr:uid="{620FA4B1-EC91-44A4-8820-3F66068A7821}"/>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1193F123-DD66-4A7C-8E81-AD2CA8727C44}"/>
    <cellStyle name="Comma 4 2 4 2 2 2 3" xfId="11394" xr:uid="{32514BD4-BB9F-4376-BE87-087CFAE1EE4D}"/>
    <cellStyle name="Comma 4 2 4 2 2 3" xfId="5028" xr:uid="{00000000-0005-0000-0000-0000BA080000}"/>
    <cellStyle name="Comma 4 2 4 2 2 3 2" xfId="13467" xr:uid="{7FD1DBFB-68C7-4367-BA02-D9A71025ECF5}"/>
    <cellStyle name="Comma 4 2 4 2 2 4" xfId="9249" xr:uid="{654906BF-E672-4FCA-B8BB-5C9FD3BE1EB7}"/>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93901DE6-7F45-4ADC-9F5C-F9FF6AC0D8FD}"/>
    <cellStyle name="Comma 4 2 4 2 3 2 3" xfId="11807" xr:uid="{9F7A2433-ED21-4B2F-B913-1AE2822BC026}"/>
    <cellStyle name="Comma 4 2 4 2 3 3" xfId="5441" xr:uid="{00000000-0005-0000-0000-0000BE080000}"/>
    <cellStyle name="Comma 4 2 4 2 3 3 2" xfId="13880" xr:uid="{BBFE542C-F0B7-45D2-8C52-52A0B468A2CC}"/>
    <cellStyle name="Comma 4 2 4 2 3 4" xfId="9662" xr:uid="{4101B7C3-74FA-44D1-A9EE-651B532A3B82}"/>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BFC9E582-C3E8-4286-A1B6-4243A1416018}"/>
    <cellStyle name="Comma 4 2 4 2 4 2 3" xfId="12220" xr:uid="{80BB0934-2D2A-471E-9B09-1C40C2842E99}"/>
    <cellStyle name="Comma 4 2 4 2 4 3" xfId="5854" xr:uid="{00000000-0005-0000-0000-0000C2080000}"/>
    <cellStyle name="Comma 4 2 4 2 4 3 2" xfId="14293" xr:uid="{D0B68F56-F4D3-4FAB-90E8-94FB347AD3D4}"/>
    <cellStyle name="Comma 4 2 4 2 4 4" xfId="10075" xr:uid="{01E1008D-1199-44D7-868A-F553F045B13C}"/>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2C56A9B7-A9EE-4D99-BAB3-C3E50B6A2E6E}"/>
    <cellStyle name="Comma 4 2 4 2 5 2 3" xfId="12633" xr:uid="{EECB8CB4-8B0B-42BD-B9DC-A0040E965EFE}"/>
    <cellStyle name="Comma 4 2 4 2 5 3" xfId="6267" xr:uid="{00000000-0005-0000-0000-0000C6080000}"/>
    <cellStyle name="Comma 4 2 4 2 5 3 2" xfId="14706" xr:uid="{962B2C77-D5A5-47E2-BAC0-486657CE7E07}"/>
    <cellStyle name="Comma 4 2 4 2 5 4" xfId="10488" xr:uid="{37F0A2D5-7B02-473E-B6B2-41198B616A9D}"/>
    <cellStyle name="Comma 4 2 4 2 6" xfId="2395" xr:uid="{00000000-0005-0000-0000-0000C7080000}"/>
    <cellStyle name="Comma 4 2 4 2 6 2" xfId="6680" xr:uid="{00000000-0005-0000-0000-0000C8080000}"/>
    <cellStyle name="Comma 4 2 4 2 6 2 2" xfId="15119" xr:uid="{6F44B5DB-19D7-4558-9A2E-B15C75422BAE}"/>
    <cellStyle name="Comma 4 2 4 2 6 3" xfId="10901" xr:uid="{C7215612-DD49-4379-BCE9-793DF4FDFA24}"/>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73FCF60C-7F5F-407D-8A44-2E6D97B6B8D5}"/>
    <cellStyle name="Comma 4 2 4 2 8 3" xfId="11218" xr:uid="{9540B6D0-8A42-43BF-A643-3C102CDE664D}"/>
    <cellStyle name="Comma 4 2 4 2 9" xfId="4614" xr:uid="{00000000-0005-0000-0000-0000CC080000}"/>
    <cellStyle name="Comma 4 2 4 2 9 2" xfId="13053" xr:uid="{867DCD5A-7E47-41B1-9499-F7FD7AC51745}"/>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8974868B-2FE3-44D0-9D72-F14AC9745568}"/>
    <cellStyle name="Comma 4 2 4 3 2 3" xfId="11393" xr:uid="{E22F527C-8A9C-4F5E-A52D-2188A7B79191}"/>
    <cellStyle name="Comma 4 2 4 3 3" xfId="5027" xr:uid="{00000000-0005-0000-0000-0000D0080000}"/>
    <cellStyle name="Comma 4 2 4 3 3 2" xfId="13466" xr:uid="{3D23ABCA-8D88-4C01-8B50-9FFCBF35C4A1}"/>
    <cellStyle name="Comma 4 2 4 3 4" xfId="9248" xr:uid="{28D12103-F3CE-4DE4-ACF4-CA5044CCA56A}"/>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82E12073-3704-40E9-AA90-F086C7ED394E}"/>
    <cellStyle name="Comma 4 2 4 4 2 3" xfId="11806" xr:uid="{F41946B9-8764-4A63-AD51-D2F9C85099E9}"/>
    <cellStyle name="Comma 4 2 4 4 3" xfId="5440" xr:uid="{00000000-0005-0000-0000-0000D4080000}"/>
    <cellStyle name="Comma 4 2 4 4 3 2" xfId="13879" xr:uid="{3D0A4A2A-DE84-4C24-89F7-22F0E837DABE}"/>
    <cellStyle name="Comma 4 2 4 4 4" xfId="9661" xr:uid="{2D3E0799-26BC-4B7C-9973-6DB66B44AD02}"/>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79227DF8-CC62-4A63-AF39-EBEF19CDFC31}"/>
    <cellStyle name="Comma 4 2 4 5 2 3" xfId="12219" xr:uid="{E2127FAD-AB4D-44B3-A605-616848E4142B}"/>
    <cellStyle name="Comma 4 2 4 5 3" xfId="5853" xr:uid="{00000000-0005-0000-0000-0000D8080000}"/>
    <cellStyle name="Comma 4 2 4 5 3 2" xfId="14292" xr:uid="{FE83B4B1-726F-4FB5-B1A6-73E45D46D502}"/>
    <cellStyle name="Comma 4 2 4 5 4" xfId="10074" xr:uid="{8799885D-53F6-43C3-91AE-CD58E006732B}"/>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562E8723-BEFA-456F-A46D-5055DD666175}"/>
    <cellStyle name="Comma 4 2 4 6 2 3" xfId="12632" xr:uid="{514FDD50-8F01-4331-A20A-E7191792F462}"/>
    <cellStyle name="Comma 4 2 4 6 3" xfId="6266" xr:uid="{00000000-0005-0000-0000-0000DC080000}"/>
    <cellStyle name="Comma 4 2 4 6 3 2" xfId="14705" xr:uid="{26EFF5A4-4420-408C-9F81-70FFBC83A92E}"/>
    <cellStyle name="Comma 4 2 4 6 4" xfId="10487" xr:uid="{85947BFB-16A7-45D7-BCA1-D87B3DE7F7FA}"/>
    <cellStyle name="Comma 4 2 4 7" xfId="2394" xr:uid="{00000000-0005-0000-0000-0000DD080000}"/>
    <cellStyle name="Comma 4 2 4 7 2" xfId="6679" xr:uid="{00000000-0005-0000-0000-0000DE080000}"/>
    <cellStyle name="Comma 4 2 4 7 2 2" xfId="15118" xr:uid="{6F6E5AF5-9F02-4AE2-979D-2E2DF8163605}"/>
    <cellStyle name="Comma 4 2 4 7 3" xfId="10900" xr:uid="{5E7FA7EE-FCE4-4EBA-9CBE-B44FB2A6C09B}"/>
    <cellStyle name="Comma 4 2 4 8" xfId="2369" xr:uid="{00000000-0005-0000-0000-0000DF080000}"/>
    <cellStyle name="Comma 4 2 4 9" xfId="2772" xr:uid="{00000000-0005-0000-0000-0000E0080000}"/>
    <cellStyle name="Comma 4 2 4 9 2" xfId="6996" xr:uid="{00000000-0005-0000-0000-0000E1080000}"/>
    <cellStyle name="Comma 4 2 4 9 2 2" xfId="15435" xr:uid="{3AF70AF6-9807-463C-A449-EAD9E627F47E}"/>
    <cellStyle name="Comma 4 2 4 9 3" xfId="11217" xr:uid="{8F93C34C-36F5-4387-BA0F-E3D525237A0C}"/>
    <cellStyle name="Comma 4 2 5" xfId="142" xr:uid="{00000000-0005-0000-0000-0000E2080000}"/>
    <cellStyle name="Comma 4 2 5 10" xfId="8836" xr:uid="{785862AC-30F4-4CF0-84FD-10A9753D2827}"/>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E7252DB9-9606-4070-807A-2EB265C2D859}"/>
    <cellStyle name="Comma 4 2 5 2 2 3" xfId="11395" xr:uid="{CD644B79-D115-44F5-9270-F2A99A6A473A}"/>
    <cellStyle name="Comma 4 2 5 2 3" xfId="5029" xr:uid="{00000000-0005-0000-0000-0000E6080000}"/>
    <cellStyle name="Comma 4 2 5 2 3 2" xfId="13468" xr:uid="{796F7D43-42B2-4191-87EB-727DA13F53D7}"/>
    <cellStyle name="Comma 4 2 5 2 4" xfId="9250" xr:uid="{2D70A349-A8CD-4544-B767-C3A61E4E5073}"/>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54A7F64C-EE86-4E89-841F-EAF0F4C1C975}"/>
    <cellStyle name="Comma 4 2 5 3 2 3" xfId="11808" xr:uid="{B61EBD96-DDCE-432E-9395-5A5738064424}"/>
    <cellStyle name="Comma 4 2 5 3 3" xfId="5442" xr:uid="{00000000-0005-0000-0000-0000EA080000}"/>
    <cellStyle name="Comma 4 2 5 3 3 2" xfId="13881" xr:uid="{F4E17B61-97DF-404A-902C-0DE68998692F}"/>
    <cellStyle name="Comma 4 2 5 3 4" xfId="9663" xr:uid="{AD8A5F28-A927-4238-93F1-9C8EE538660C}"/>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4AF31777-09AC-4D4C-AD41-CDD8E5354AA2}"/>
    <cellStyle name="Comma 4 2 5 4 2 3" xfId="12221" xr:uid="{0A6FC282-59C5-4C40-BE02-0CFA05D6E73E}"/>
    <cellStyle name="Comma 4 2 5 4 3" xfId="5855" xr:uid="{00000000-0005-0000-0000-0000EE080000}"/>
    <cellStyle name="Comma 4 2 5 4 3 2" xfId="14294" xr:uid="{149A3E5F-27B8-4298-A2FC-D5626827686E}"/>
    <cellStyle name="Comma 4 2 5 4 4" xfId="10076" xr:uid="{C454549A-7DFE-429E-8CFF-B00C41090B25}"/>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717F26CC-D133-46A9-BB41-653D018C81EF}"/>
    <cellStyle name="Comma 4 2 5 5 2 3" xfId="12634" xr:uid="{B298FFB2-C2CC-406E-88D0-485907AACB3F}"/>
    <cellStyle name="Comma 4 2 5 5 3" xfId="6268" xr:uid="{00000000-0005-0000-0000-0000F2080000}"/>
    <cellStyle name="Comma 4 2 5 5 3 2" xfId="14707" xr:uid="{4D963A9C-6339-442E-A407-1AF364F444E1}"/>
    <cellStyle name="Comma 4 2 5 5 4" xfId="10489" xr:uid="{A97E6839-761B-4B29-AF19-829D2EEB3619}"/>
    <cellStyle name="Comma 4 2 5 6" xfId="2396" xr:uid="{00000000-0005-0000-0000-0000F3080000}"/>
    <cellStyle name="Comma 4 2 5 6 2" xfId="6681" xr:uid="{00000000-0005-0000-0000-0000F4080000}"/>
    <cellStyle name="Comma 4 2 5 6 2 2" xfId="15120" xr:uid="{9AEC9DDE-74E2-47EB-8F63-B5C4296B6286}"/>
    <cellStyle name="Comma 4 2 5 6 3" xfId="10902" xr:uid="{B0F59C36-73A7-4CBE-9CC0-85AD9C4935B4}"/>
    <cellStyle name="Comma 4 2 5 7" xfId="2367" xr:uid="{00000000-0005-0000-0000-0000F5080000}"/>
    <cellStyle name="Comma 4 2 5 8" xfId="2774" xr:uid="{00000000-0005-0000-0000-0000F6080000}"/>
    <cellStyle name="Comma 4 2 5 8 2" xfId="6998" xr:uid="{00000000-0005-0000-0000-0000F7080000}"/>
    <cellStyle name="Comma 4 2 5 8 2 2" xfId="15437" xr:uid="{795586F7-D677-4647-BCDD-68C40F6307C2}"/>
    <cellStyle name="Comma 4 2 5 8 3" xfId="11219" xr:uid="{2460D0D5-7A8B-4DF6-9B3B-5343A5B265D4}"/>
    <cellStyle name="Comma 4 2 5 9" xfId="4615" xr:uid="{00000000-0005-0000-0000-0000F8080000}"/>
    <cellStyle name="Comma 4 2 5 9 2" xfId="13054" xr:uid="{EA4DDB9A-1FEF-4C4B-9D0D-9108A25BC45B}"/>
    <cellStyle name="Comma 4 2 6" xfId="143" xr:uid="{00000000-0005-0000-0000-0000F9080000}"/>
    <cellStyle name="Comma 4 2 6 10" xfId="8837" xr:uid="{F54B8B3A-DE36-4527-8E4F-3317B74DDEFC}"/>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2C75E6DC-4083-42BE-B1EB-77F2B4619409}"/>
    <cellStyle name="Comma 4 2 6 2 2 3" xfId="11396" xr:uid="{B0AE387B-C3AD-4A53-91EC-2DB6F9BB12C8}"/>
    <cellStyle name="Comma 4 2 6 2 3" xfId="5030" xr:uid="{00000000-0005-0000-0000-0000FD080000}"/>
    <cellStyle name="Comma 4 2 6 2 3 2" xfId="13469" xr:uid="{4FCE0A19-2ADE-482C-B7A9-4764B49C371E}"/>
    <cellStyle name="Comma 4 2 6 2 4" xfId="9251" xr:uid="{3ACD8BFF-0116-42EC-920E-E507FE0AEE5B}"/>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98EE7FF2-2272-4D40-BBA1-DBFC42FC8C03}"/>
    <cellStyle name="Comma 4 2 6 3 2 3" xfId="11809" xr:uid="{3C3A4B92-AB00-4D52-8595-863EA35198C7}"/>
    <cellStyle name="Comma 4 2 6 3 3" xfId="5443" xr:uid="{00000000-0005-0000-0000-000001090000}"/>
    <cellStyle name="Comma 4 2 6 3 3 2" xfId="13882" xr:uid="{B7F2D1CC-BDA2-4FB0-8559-7B0C5DC8DFA7}"/>
    <cellStyle name="Comma 4 2 6 3 4" xfId="9664" xr:uid="{48F1FD84-FA77-40D5-B027-EEF6DAA0C294}"/>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5815A765-315A-4C2F-BF3D-533C209548A6}"/>
    <cellStyle name="Comma 4 2 6 4 2 3" xfId="12222" xr:uid="{A183F12C-0C77-4F03-8FC3-7558F125AFC2}"/>
    <cellStyle name="Comma 4 2 6 4 3" xfId="5856" xr:uid="{00000000-0005-0000-0000-000005090000}"/>
    <cellStyle name="Comma 4 2 6 4 3 2" xfId="14295" xr:uid="{9318E2B1-D8E6-4E44-A2A0-27F77C1913E9}"/>
    <cellStyle name="Comma 4 2 6 4 4" xfId="10077" xr:uid="{B7F90698-B5A1-4B4A-BA0F-02441A90FEDC}"/>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F6A11D0C-099E-4EF3-961B-B9C7A0251857}"/>
    <cellStyle name="Comma 4 2 6 5 2 3" xfId="12635" xr:uid="{C2B62A92-DC6A-4B47-88E9-FDB00721721C}"/>
    <cellStyle name="Comma 4 2 6 5 3" xfId="6269" xr:uid="{00000000-0005-0000-0000-000009090000}"/>
    <cellStyle name="Comma 4 2 6 5 3 2" xfId="14708" xr:uid="{BB6A7E37-B2B9-411B-A3EF-78A0FD9BCE11}"/>
    <cellStyle name="Comma 4 2 6 5 4" xfId="10490" xr:uid="{CF98F8FB-70B1-433D-93D8-867016114064}"/>
    <cellStyle name="Comma 4 2 6 6" xfId="2397" xr:uid="{00000000-0005-0000-0000-00000A090000}"/>
    <cellStyle name="Comma 4 2 6 6 2" xfId="6682" xr:uid="{00000000-0005-0000-0000-00000B090000}"/>
    <cellStyle name="Comma 4 2 6 6 2 2" xfId="15121" xr:uid="{C8CD900D-DDEE-44C7-B6AE-3D49AA659C6D}"/>
    <cellStyle name="Comma 4 2 6 6 3" xfId="10903" xr:uid="{E3E0AD7A-34E9-4E8A-95A0-BB6C713524F9}"/>
    <cellStyle name="Comma 4 2 6 7" xfId="2366" xr:uid="{00000000-0005-0000-0000-00000C090000}"/>
    <cellStyle name="Comma 4 2 6 8" xfId="2775" xr:uid="{00000000-0005-0000-0000-00000D090000}"/>
    <cellStyle name="Comma 4 2 6 8 2" xfId="6999" xr:uid="{00000000-0005-0000-0000-00000E090000}"/>
    <cellStyle name="Comma 4 2 6 8 2 2" xfId="15438" xr:uid="{0A6AA9B8-6FC6-473E-8BD9-FD04D484213C}"/>
    <cellStyle name="Comma 4 2 6 8 3" xfId="11220" xr:uid="{0B85AAAD-254F-4A28-B188-66D45BA070BF}"/>
    <cellStyle name="Comma 4 2 6 9" xfId="4616" xr:uid="{00000000-0005-0000-0000-00000F090000}"/>
    <cellStyle name="Comma 4 2 6 9 2" xfId="13055" xr:uid="{A6FB73F2-159D-4E72-AD75-7F0E6A38F66A}"/>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7A788635-B400-43EB-B5D2-DE6F17BD08EA}"/>
    <cellStyle name="Comma 4 3 2 10 3" xfId="11221" xr:uid="{1026E787-8CEB-4FBE-836F-4F8F1C221D44}"/>
    <cellStyle name="Comma 4 3 2 11" xfId="4617" xr:uid="{00000000-0005-0000-0000-000014090000}"/>
    <cellStyle name="Comma 4 3 2 11 2" xfId="13056" xr:uid="{B2FC4EC3-DC4C-4AF7-A269-36F65B3AB112}"/>
    <cellStyle name="Comma 4 3 2 12" xfId="8838" xr:uid="{1013B6FA-C3CC-4FF4-AC78-18B88CB43407}"/>
    <cellStyle name="Comma 4 3 2 2" xfId="146" xr:uid="{00000000-0005-0000-0000-000015090000}"/>
    <cellStyle name="Comma 4 3 2 2 10" xfId="4618" xr:uid="{00000000-0005-0000-0000-000016090000}"/>
    <cellStyle name="Comma 4 3 2 2 10 2" xfId="13057" xr:uid="{DE48AFD3-0691-4672-9DA7-0478F48E7B12}"/>
    <cellStyle name="Comma 4 3 2 2 11" xfId="8839" xr:uid="{EAF64223-EACF-47FB-A1E0-B6261F5C6092}"/>
    <cellStyle name="Comma 4 3 2 2 2" xfId="147" xr:uid="{00000000-0005-0000-0000-000017090000}"/>
    <cellStyle name="Comma 4 3 2 2 2 10" xfId="8840" xr:uid="{E0B7EB3E-418C-40B4-AF15-A82A85CEDBD3}"/>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32A5D157-3160-4281-8032-E2BA9F1EB3EA}"/>
    <cellStyle name="Comma 4 3 2 2 2 2 2 3" xfId="11399" xr:uid="{E5DC4187-751D-4E62-AB0A-16720B2411FD}"/>
    <cellStyle name="Comma 4 3 2 2 2 2 3" xfId="5033" xr:uid="{00000000-0005-0000-0000-00001B090000}"/>
    <cellStyle name="Comma 4 3 2 2 2 2 3 2" xfId="13472" xr:uid="{F64F9E13-44E3-432D-A8BE-B815F69742F0}"/>
    <cellStyle name="Comma 4 3 2 2 2 2 4" xfId="9254" xr:uid="{59DB3B27-40C1-433D-8030-AF1345EE8B9D}"/>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D56067A1-88EB-4322-A2C6-8CE88A5835B1}"/>
    <cellStyle name="Comma 4 3 2 2 2 3 2 3" xfId="11812" xr:uid="{4C662DD7-3C73-4E34-9F93-31E5E9E14A34}"/>
    <cellStyle name="Comma 4 3 2 2 2 3 3" xfId="5446" xr:uid="{00000000-0005-0000-0000-00001F090000}"/>
    <cellStyle name="Comma 4 3 2 2 2 3 3 2" xfId="13885" xr:uid="{4639E991-40D7-4CF5-AD68-B69CF425A7F5}"/>
    <cellStyle name="Comma 4 3 2 2 2 3 4" xfId="9667" xr:uid="{B2F75AF5-065D-4CD6-A1BB-9A8D3D31AC55}"/>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78F140FC-5DF1-4582-9765-E1B5CEAD92D8}"/>
    <cellStyle name="Comma 4 3 2 2 2 4 2 3" xfId="12225" xr:uid="{9457FD65-900E-4F41-9309-A915621827AA}"/>
    <cellStyle name="Comma 4 3 2 2 2 4 3" xfId="5859" xr:uid="{00000000-0005-0000-0000-000023090000}"/>
    <cellStyle name="Comma 4 3 2 2 2 4 3 2" xfId="14298" xr:uid="{11C07534-1B53-4CD5-8309-B6DF571223E2}"/>
    <cellStyle name="Comma 4 3 2 2 2 4 4" xfId="10080" xr:uid="{5FEC0F81-C264-452D-A9CF-4FE8870EEEAD}"/>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D368E86C-5A93-4130-AD21-1048C9326A8B}"/>
    <cellStyle name="Comma 4 3 2 2 2 5 2 3" xfId="12638" xr:uid="{EF3C747B-E2FA-4CCA-9987-6079A7EB23C2}"/>
    <cellStyle name="Comma 4 3 2 2 2 5 3" xfId="6272" xr:uid="{00000000-0005-0000-0000-000027090000}"/>
    <cellStyle name="Comma 4 3 2 2 2 5 3 2" xfId="14711" xr:uid="{C06F271A-5C02-44FD-9F19-6CFB3CED4BDF}"/>
    <cellStyle name="Comma 4 3 2 2 2 5 4" xfId="10493" xr:uid="{30D5A994-FA48-4266-95AA-B6E00FE9F50C}"/>
    <cellStyle name="Comma 4 3 2 2 2 6" xfId="2400" xr:uid="{00000000-0005-0000-0000-000028090000}"/>
    <cellStyle name="Comma 4 3 2 2 2 6 2" xfId="6685" xr:uid="{00000000-0005-0000-0000-000029090000}"/>
    <cellStyle name="Comma 4 3 2 2 2 6 2 2" xfId="15124" xr:uid="{9C45E8CA-5018-4A6F-8783-91DBA24B00DD}"/>
    <cellStyle name="Comma 4 3 2 2 2 6 3" xfId="10906" xr:uid="{3C3C929C-0703-40E6-B727-766BDAFD9A49}"/>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6789A01F-6786-438C-AEBA-B6F93520BD4B}"/>
    <cellStyle name="Comma 4 3 2 2 2 8 3" xfId="11223" xr:uid="{60BDA323-75BF-440F-8BF1-8FE333BD2ADA}"/>
    <cellStyle name="Comma 4 3 2 2 2 9" xfId="4619" xr:uid="{00000000-0005-0000-0000-00002D090000}"/>
    <cellStyle name="Comma 4 3 2 2 2 9 2" xfId="13058" xr:uid="{91DE80C6-00AD-4EBB-90F7-1E487434AACA}"/>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2838F99A-EAC3-4273-A29F-0E8EF3B1C4DF}"/>
    <cellStyle name="Comma 4 3 2 2 3 2 3" xfId="11398" xr:uid="{6B6AB846-3C4E-43F7-808C-EB7D9F43E795}"/>
    <cellStyle name="Comma 4 3 2 2 3 3" xfId="5032" xr:uid="{00000000-0005-0000-0000-000031090000}"/>
    <cellStyle name="Comma 4 3 2 2 3 3 2" xfId="13471" xr:uid="{A7D1B539-3893-4D29-AFEF-66EA32EA40A4}"/>
    <cellStyle name="Comma 4 3 2 2 3 4" xfId="9253" xr:uid="{76392D10-F3B1-46C1-B60B-2BDDA3B91CEB}"/>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B4972A62-5037-4C47-A9D5-187DA3C7FB25}"/>
    <cellStyle name="Comma 4 3 2 2 4 2 3" xfId="11811" xr:uid="{773D9C69-6DD9-40C6-9361-20986E0D15BA}"/>
    <cellStyle name="Comma 4 3 2 2 4 3" xfId="5445" xr:uid="{00000000-0005-0000-0000-000035090000}"/>
    <cellStyle name="Comma 4 3 2 2 4 3 2" xfId="13884" xr:uid="{5E6C003D-B7C9-41FB-AC5A-586777DC081F}"/>
    <cellStyle name="Comma 4 3 2 2 4 4" xfId="9666" xr:uid="{535E4091-1F3B-4502-96F3-7AD138FB9A7E}"/>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BDB96DC2-78E7-44A6-AAB2-9E2F644E0655}"/>
    <cellStyle name="Comma 4 3 2 2 5 2 3" xfId="12224" xr:uid="{616BE524-FFAC-46AD-8B91-D9893B7A692B}"/>
    <cellStyle name="Comma 4 3 2 2 5 3" xfId="5858" xr:uid="{00000000-0005-0000-0000-000039090000}"/>
    <cellStyle name="Comma 4 3 2 2 5 3 2" xfId="14297" xr:uid="{B6458192-8F8A-44D6-A956-D5D0FDE07341}"/>
    <cellStyle name="Comma 4 3 2 2 5 4" xfId="10079" xr:uid="{DC3E85D2-AEF8-4CE0-8CC8-B3D03A4880A6}"/>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78FF82F2-4397-43B8-B1EF-7FD991FB5F92}"/>
    <cellStyle name="Comma 4 3 2 2 6 2 3" xfId="12637" xr:uid="{EB462EFE-96CD-4FB7-A385-A9D5EBCC23C4}"/>
    <cellStyle name="Comma 4 3 2 2 6 3" xfId="6271" xr:uid="{00000000-0005-0000-0000-00003D090000}"/>
    <cellStyle name="Comma 4 3 2 2 6 3 2" xfId="14710" xr:uid="{40E0C8E8-3202-4C57-82B1-DC878D295666}"/>
    <cellStyle name="Comma 4 3 2 2 6 4" xfId="10492" xr:uid="{C6E9C24F-7BED-480D-8944-1EBE140ED399}"/>
    <cellStyle name="Comma 4 3 2 2 7" xfId="2399" xr:uid="{00000000-0005-0000-0000-00003E090000}"/>
    <cellStyle name="Comma 4 3 2 2 7 2" xfId="6684" xr:uid="{00000000-0005-0000-0000-00003F090000}"/>
    <cellStyle name="Comma 4 3 2 2 7 2 2" xfId="15123" xr:uid="{58254172-64EF-4142-881F-73B16FBE3F7C}"/>
    <cellStyle name="Comma 4 3 2 2 7 3" xfId="10905" xr:uid="{61A99B67-8391-4224-9CA8-4ED52F3540B5}"/>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85D18AD7-388B-4DC7-BEDA-9118A1176C0C}"/>
    <cellStyle name="Comma 4 3 2 2 9 3" xfId="11222" xr:uid="{0C205E61-D5A3-4E70-949C-C358668DF302}"/>
    <cellStyle name="Comma 4 3 2 3" xfId="148" xr:uid="{00000000-0005-0000-0000-000043090000}"/>
    <cellStyle name="Comma 4 3 2 3 10" xfId="8841" xr:uid="{2E4CF009-18FE-4DE3-AF6C-A328DA816E95}"/>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0925AC8E-A973-4CA9-B701-0DC2C08D69D2}"/>
    <cellStyle name="Comma 4 3 2 3 2 2 3" xfId="11400" xr:uid="{CE0546C1-3D03-4F6C-A09F-403ED1BA3255}"/>
    <cellStyle name="Comma 4 3 2 3 2 3" xfId="5034" xr:uid="{00000000-0005-0000-0000-000047090000}"/>
    <cellStyle name="Comma 4 3 2 3 2 3 2" xfId="13473" xr:uid="{27BDD8CF-C588-4414-8C16-C6A0C3D7F73A}"/>
    <cellStyle name="Comma 4 3 2 3 2 4" xfId="9255" xr:uid="{4685A366-FEA2-4627-BE95-B4BF6DC089B7}"/>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46B3D2F2-F5AF-4E9D-85A7-3E226305D524}"/>
    <cellStyle name="Comma 4 3 2 3 3 2 3" xfId="11813" xr:uid="{074632E2-EE60-4C92-A4A8-D324CB258DE5}"/>
    <cellStyle name="Comma 4 3 2 3 3 3" xfId="5447" xr:uid="{00000000-0005-0000-0000-00004B090000}"/>
    <cellStyle name="Comma 4 3 2 3 3 3 2" xfId="13886" xr:uid="{14808538-A0D9-49E2-A37B-617A7283273C}"/>
    <cellStyle name="Comma 4 3 2 3 3 4" xfId="9668" xr:uid="{0213A23A-2C88-4D0C-8DFB-B3E361389793}"/>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8F823750-9D5F-44C1-90EC-F10D8C3073B7}"/>
    <cellStyle name="Comma 4 3 2 3 4 2 3" xfId="12226" xr:uid="{B5B03C8F-B445-4EBA-8336-CBD5FD7DA11F}"/>
    <cellStyle name="Comma 4 3 2 3 4 3" xfId="5860" xr:uid="{00000000-0005-0000-0000-00004F090000}"/>
    <cellStyle name="Comma 4 3 2 3 4 3 2" xfId="14299" xr:uid="{F9AA8DD5-23A9-4EAD-A01F-80288E3D8826}"/>
    <cellStyle name="Comma 4 3 2 3 4 4" xfId="10081" xr:uid="{C291FE37-94FE-4130-BE76-215C2485F7BD}"/>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6901BB68-32B8-4B73-B608-6F4CEEA5B191}"/>
    <cellStyle name="Comma 4 3 2 3 5 2 3" xfId="12639" xr:uid="{DB7FEE9E-B118-4199-96D9-802D6BB4E36F}"/>
    <cellStyle name="Comma 4 3 2 3 5 3" xfId="6273" xr:uid="{00000000-0005-0000-0000-000053090000}"/>
    <cellStyle name="Comma 4 3 2 3 5 3 2" xfId="14712" xr:uid="{55743851-0C66-4929-BE3C-C3ECA9028344}"/>
    <cellStyle name="Comma 4 3 2 3 5 4" xfId="10494" xr:uid="{74088A0C-13CB-43EF-847A-0AAF7271125A}"/>
    <cellStyle name="Comma 4 3 2 3 6" xfId="2401" xr:uid="{00000000-0005-0000-0000-000054090000}"/>
    <cellStyle name="Comma 4 3 2 3 6 2" xfId="6686" xr:uid="{00000000-0005-0000-0000-000055090000}"/>
    <cellStyle name="Comma 4 3 2 3 6 2 2" xfId="15125" xr:uid="{E1CD6743-EE2D-4500-8788-84B7E41BC635}"/>
    <cellStyle name="Comma 4 3 2 3 6 3" xfId="10907" xr:uid="{123C1E67-7AE3-4E8A-80A1-DBB7C030A3A5}"/>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20A1694B-4AEC-4FCE-BD76-5970F5053EAE}"/>
    <cellStyle name="Comma 4 3 2 3 8 3" xfId="11224" xr:uid="{B9699239-2416-45BE-943E-3D4C0343E880}"/>
    <cellStyle name="Comma 4 3 2 3 9" xfId="4620" xr:uid="{00000000-0005-0000-0000-000059090000}"/>
    <cellStyle name="Comma 4 3 2 3 9 2" xfId="13059" xr:uid="{73133FEA-2E43-4ABE-A11F-18DEEC827B68}"/>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D61E903A-7C9A-4C29-9E5B-27D3531500E2}"/>
    <cellStyle name="Comma 4 3 2 4 2 3" xfId="11397" xr:uid="{066F9DBC-1460-4AAE-A477-5908C2604904}"/>
    <cellStyle name="Comma 4 3 2 4 3" xfId="5031" xr:uid="{00000000-0005-0000-0000-00005D090000}"/>
    <cellStyle name="Comma 4 3 2 4 3 2" xfId="13470" xr:uid="{D5207C94-0E8C-4422-A556-DD5C42CE38C5}"/>
    <cellStyle name="Comma 4 3 2 4 4" xfId="9252" xr:uid="{73FDC524-3FFD-4731-A77D-0928EA9449CB}"/>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E587682E-53F2-46F8-9806-3832A8DA717B}"/>
    <cellStyle name="Comma 4 3 2 5 2 3" xfId="11810" xr:uid="{813145E1-AE00-43EE-82BF-2434B9441960}"/>
    <cellStyle name="Comma 4 3 2 5 3" xfId="5444" xr:uid="{00000000-0005-0000-0000-000061090000}"/>
    <cellStyle name="Comma 4 3 2 5 3 2" xfId="13883" xr:uid="{5295BCC7-E57A-4B4C-A787-F9C486CA09B1}"/>
    <cellStyle name="Comma 4 3 2 5 4" xfId="9665" xr:uid="{689C9867-29DF-4C6F-B8F7-CB74F6B20CC8}"/>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BD112ECC-5BEA-4AD8-B3AC-59F2252B9D09}"/>
    <cellStyle name="Comma 4 3 2 6 2 3" xfId="12223" xr:uid="{80D420A3-D739-4C2D-A68D-E168F6255D76}"/>
    <cellStyle name="Comma 4 3 2 6 3" xfId="5857" xr:uid="{00000000-0005-0000-0000-000065090000}"/>
    <cellStyle name="Comma 4 3 2 6 3 2" xfId="14296" xr:uid="{80D5454F-451A-4CB5-91A2-7B08221900B6}"/>
    <cellStyle name="Comma 4 3 2 6 4" xfId="10078" xr:uid="{C94D2F7B-103B-4765-BA7F-09E45E9E0705}"/>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DC74E895-741A-478A-8CCD-118E1EA36FD9}"/>
    <cellStyle name="Comma 4 3 2 7 2 3" xfId="12636" xr:uid="{235C4F6B-B482-4051-8678-3EE02D8A973B}"/>
    <cellStyle name="Comma 4 3 2 7 3" xfId="6270" xr:uid="{00000000-0005-0000-0000-000069090000}"/>
    <cellStyle name="Comma 4 3 2 7 3 2" xfId="14709" xr:uid="{6FE24ED5-5158-47DC-BBD8-13F13C58239D}"/>
    <cellStyle name="Comma 4 3 2 7 4" xfId="10491" xr:uid="{2AA75072-5E77-4CFA-8BB7-F17D689C18E4}"/>
    <cellStyle name="Comma 4 3 2 8" xfId="2398" xr:uid="{00000000-0005-0000-0000-00006A090000}"/>
    <cellStyle name="Comma 4 3 2 8 2" xfId="6683" xr:uid="{00000000-0005-0000-0000-00006B090000}"/>
    <cellStyle name="Comma 4 3 2 8 2 2" xfId="15122" xr:uid="{C995236C-AB45-4439-8E79-260AAEECBA10}"/>
    <cellStyle name="Comma 4 3 2 8 3" xfId="10904" xr:uid="{92DEE178-5B22-43BE-807E-9365A26FFA73}"/>
    <cellStyle name="Comma 4 3 2 9" xfId="2365" xr:uid="{00000000-0005-0000-0000-00006C090000}"/>
    <cellStyle name="Comma 4 3 3" xfId="149" xr:uid="{00000000-0005-0000-0000-00006D090000}"/>
    <cellStyle name="Comma 4 3 3 10" xfId="4621" xr:uid="{00000000-0005-0000-0000-00006E090000}"/>
    <cellStyle name="Comma 4 3 3 10 2" xfId="13060" xr:uid="{B1DEBB23-69A2-492D-843F-5D29F08CA0CA}"/>
    <cellStyle name="Comma 4 3 3 11" xfId="8842" xr:uid="{8F45E5F1-AAB6-478C-8890-590503064708}"/>
    <cellStyle name="Comma 4 3 3 2" xfId="150" xr:uid="{00000000-0005-0000-0000-00006F090000}"/>
    <cellStyle name="Comma 4 3 3 2 10" xfId="8843" xr:uid="{8E222FC2-BC22-46DF-BF0E-18A268416941}"/>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57E5B884-C5D9-4549-953C-2B485AE63592}"/>
    <cellStyle name="Comma 4 3 3 2 2 2 3" xfId="11402" xr:uid="{3B386BE7-21BD-4FA8-8768-8C626A94E73E}"/>
    <cellStyle name="Comma 4 3 3 2 2 3" xfId="5036" xr:uid="{00000000-0005-0000-0000-000073090000}"/>
    <cellStyle name="Comma 4 3 3 2 2 3 2" xfId="13475" xr:uid="{D184D1E5-89FE-4DD3-9C5D-C5F43EE03BCD}"/>
    <cellStyle name="Comma 4 3 3 2 2 4" xfId="9257" xr:uid="{A426B2A7-7F56-4CD9-B2A2-98837476BDA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320838DF-9DF0-44F8-92DC-A85C9EDC5C13}"/>
    <cellStyle name="Comma 4 3 3 2 3 2 3" xfId="11815" xr:uid="{F6A293FC-041E-4728-9A8B-D61675769ED8}"/>
    <cellStyle name="Comma 4 3 3 2 3 3" xfId="5449" xr:uid="{00000000-0005-0000-0000-000077090000}"/>
    <cellStyle name="Comma 4 3 3 2 3 3 2" xfId="13888" xr:uid="{4A79A058-2437-4F61-B74F-464C87043049}"/>
    <cellStyle name="Comma 4 3 3 2 3 4" xfId="9670" xr:uid="{5B6F61C0-59F0-496A-861F-28DEE62EE1DD}"/>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C8BEC81B-73FA-4DEE-B00B-B7DB8F248101}"/>
    <cellStyle name="Comma 4 3 3 2 4 2 3" xfId="12228" xr:uid="{77CAEF52-0B75-460C-B93E-947C5524ACF0}"/>
    <cellStyle name="Comma 4 3 3 2 4 3" xfId="5862" xr:uid="{00000000-0005-0000-0000-00007B090000}"/>
    <cellStyle name="Comma 4 3 3 2 4 3 2" xfId="14301" xr:uid="{2518BF4D-F29C-4ED7-9B5C-E45A5E1D5792}"/>
    <cellStyle name="Comma 4 3 3 2 4 4" xfId="10083" xr:uid="{26801932-7939-456F-B15B-B7A95FCD87C5}"/>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EF7D4A66-FFEB-4E2A-804A-E8E4E18CDC5A}"/>
    <cellStyle name="Comma 4 3 3 2 5 2 3" xfId="12641" xr:uid="{DB892263-8C94-4655-BD04-9CEED02B4C37}"/>
    <cellStyle name="Comma 4 3 3 2 5 3" xfId="6275" xr:uid="{00000000-0005-0000-0000-00007F090000}"/>
    <cellStyle name="Comma 4 3 3 2 5 3 2" xfId="14714" xr:uid="{EF4D8CC7-77A5-4EDA-A9DA-2D2D2F56C9C8}"/>
    <cellStyle name="Comma 4 3 3 2 5 4" xfId="10496" xr:uid="{21487CBD-EC91-4359-8B84-CF16959E66BE}"/>
    <cellStyle name="Comma 4 3 3 2 6" xfId="2403" xr:uid="{00000000-0005-0000-0000-000080090000}"/>
    <cellStyle name="Comma 4 3 3 2 6 2" xfId="6688" xr:uid="{00000000-0005-0000-0000-000081090000}"/>
    <cellStyle name="Comma 4 3 3 2 6 2 2" xfId="15127" xr:uid="{3D786327-DBE6-4B0E-94CE-8291C10A8211}"/>
    <cellStyle name="Comma 4 3 3 2 6 3" xfId="10909" xr:uid="{486A437D-22FF-449A-8D06-010F18D36D0A}"/>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1C43CDEE-0EA9-4CEC-B6A9-DA3D4E60FEC9}"/>
    <cellStyle name="Comma 4 3 3 2 8 3" xfId="11226" xr:uid="{B463D7C3-A002-4B90-A2BD-5261A3E52936}"/>
    <cellStyle name="Comma 4 3 3 2 9" xfId="4622" xr:uid="{00000000-0005-0000-0000-000085090000}"/>
    <cellStyle name="Comma 4 3 3 2 9 2" xfId="13061" xr:uid="{48D2B473-2294-4679-9700-999118B7AB6A}"/>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C471A7F1-A9CD-4063-9D33-F4D9DDEB62CB}"/>
    <cellStyle name="Comma 4 3 3 3 2 3" xfId="11401" xr:uid="{4F43399C-3374-4A70-8AC8-48675F5095F2}"/>
    <cellStyle name="Comma 4 3 3 3 3" xfId="5035" xr:uid="{00000000-0005-0000-0000-000089090000}"/>
    <cellStyle name="Comma 4 3 3 3 3 2" xfId="13474" xr:uid="{6FC3347B-1A12-4EDE-B222-63A5321E29C1}"/>
    <cellStyle name="Comma 4 3 3 3 4" xfId="9256" xr:uid="{48A8E6D8-3BB0-41D7-A74F-BC860B1311B4}"/>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B717C709-F1F8-4CDD-835F-0B7AB109FFFF}"/>
    <cellStyle name="Comma 4 3 3 4 2 3" xfId="11814" xr:uid="{5BA21968-3760-4527-8323-694DA59CB8E8}"/>
    <cellStyle name="Comma 4 3 3 4 3" xfId="5448" xr:uid="{00000000-0005-0000-0000-00008D090000}"/>
    <cellStyle name="Comma 4 3 3 4 3 2" xfId="13887" xr:uid="{3F09A319-164F-456B-B280-8A1C5BADF24C}"/>
    <cellStyle name="Comma 4 3 3 4 4" xfId="9669" xr:uid="{EB063892-2E62-4BF2-B217-166C836A4A9A}"/>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ACB56B9C-CD04-4F14-867B-C42D1B0D32E6}"/>
    <cellStyle name="Comma 4 3 3 5 2 3" xfId="12227" xr:uid="{5CE4C39D-4CF3-41B1-8704-A5180BD20CEF}"/>
    <cellStyle name="Comma 4 3 3 5 3" xfId="5861" xr:uid="{00000000-0005-0000-0000-000091090000}"/>
    <cellStyle name="Comma 4 3 3 5 3 2" xfId="14300" xr:uid="{0BE7D572-03B2-48E9-9F6F-FB211AC42C0E}"/>
    <cellStyle name="Comma 4 3 3 5 4" xfId="10082" xr:uid="{D7695941-77B8-43DE-9DF3-88F151BF34BB}"/>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88BD640B-D3C4-4E77-8DA4-DEE16F10766E}"/>
    <cellStyle name="Comma 4 3 3 6 2 3" xfId="12640" xr:uid="{E2E89C9F-82F8-4021-B40B-800F725EBEB7}"/>
    <cellStyle name="Comma 4 3 3 6 3" xfId="6274" xr:uid="{00000000-0005-0000-0000-000095090000}"/>
    <cellStyle name="Comma 4 3 3 6 3 2" xfId="14713" xr:uid="{9961A237-8B90-462F-8CEF-2957F46197CD}"/>
    <cellStyle name="Comma 4 3 3 6 4" xfId="10495" xr:uid="{953C8686-9600-4E3C-A4BC-4F07A32A9414}"/>
    <cellStyle name="Comma 4 3 3 7" xfId="2402" xr:uid="{00000000-0005-0000-0000-000096090000}"/>
    <cellStyle name="Comma 4 3 3 7 2" xfId="6687" xr:uid="{00000000-0005-0000-0000-000097090000}"/>
    <cellStyle name="Comma 4 3 3 7 2 2" xfId="15126" xr:uid="{8E4B6C2E-D246-487C-8133-8651C84AD9A8}"/>
    <cellStyle name="Comma 4 3 3 7 3" xfId="10908" xr:uid="{554A7275-D4BC-44D0-B259-E9976C994A77}"/>
    <cellStyle name="Comma 4 3 3 8" xfId="2361" xr:uid="{00000000-0005-0000-0000-000098090000}"/>
    <cellStyle name="Comma 4 3 3 9" xfId="2780" xr:uid="{00000000-0005-0000-0000-000099090000}"/>
    <cellStyle name="Comma 4 3 3 9 2" xfId="7004" xr:uid="{00000000-0005-0000-0000-00009A090000}"/>
    <cellStyle name="Comma 4 3 3 9 2 2" xfId="15443" xr:uid="{9335EFED-2E6E-4838-B659-C3E3C5AD9127}"/>
    <cellStyle name="Comma 4 3 3 9 3" xfId="11225" xr:uid="{38F9740F-3165-4BE1-B0E1-0E5A88CE0B0F}"/>
    <cellStyle name="Comma 4 3 4" xfId="151" xr:uid="{00000000-0005-0000-0000-00009B090000}"/>
    <cellStyle name="Comma 4 3 4 10" xfId="8844" xr:uid="{E26C9F14-1BF2-4A2D-A536-3156E27AD327}"/>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415D1C69-5824-4863-B712-9328A2ECE710}"/>
    <cellStyle name="Comma 4 3 4 2 2 3" xfId="11403" xr:uid="{0DC6DE26-185F-404D-B076-6C6132853CAD}"/>
    <cellStyle name="Comma 4 3 4 2 3" xfId="5037" xr:uid="{00000000-0005-0000-0000-00009F090000}"/>
    <cellStyle name="Comma 4 3 4 2 3 2" xfId="13476" xr:uid="{076472B4-2C56-4EC4-9DB9-E4A405D67EF5}"/>
    <cellStyle name="Comma 4 3 4 2 4" xfId="9258" xr:uid="{C75BD441-491A-45DA-88F3-74CA033A13DD}"/>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76060658-F0C1-499D-9B74-64B0421387CE}"/>
    <cellStyle name="Comma 4 3 4 3 2 3" xfId="11816" xr:uid="{4127C0A8-80F0-4343-B9AE-F440D8A0D209}"/>
    <cellStyle name="Comma 4 3 4 3 3" xfId="5450" xr:uid="{00000000-0005-0000-0000-0000A3090000}"/>
    <cellStyle name="Comma 4 3 4 3 3 2" xfId="13889" xr:uid="{C4CC3EB3-31DC-44A3-90FB-EDE3C5544497}"/>
    <cellStyle name="Comma 4 3 4 3 4" xfId="9671" xr:uid="{C52F5946-E859-4BBE-A2DF-EC2E2B06997D}"/>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B09E1799-70CB-4712-9F05-53E18D9E5AC1}"/>
    <cellStyle name="Comma 4 3 4 4 2 3" xfId="12229" xr:uid="{46FA05BB-F0CB-4BEB-A944-A16B69D88F8C}"/>
    <cellStyle name="Comma 4 3 4 4 3" xfId="5863" xr:uid="{00000000-0005-0000-0000-0000A7090000}"/>
    <cellStyle name="Comma 4 3 4 4 3 2" xfId="14302" xr:uid="{F6A12AC4-7642-4553-AD34-599E76E24833}"/>
    <cellStyle name="Comma 4 3 4 4 4" xfId="10084" xr:uid="{4D0C407D-3C1A-47F8-B382-4B0BE865C898}"/>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E0EA79D6-5784-4044-A4F0-2D1BD67B938C}"/>
    <cellStyle name="Comma 4 3 4 5 2 3" xfId="12642" xr:uid="{9FF5AB86-ED33-43DB-AC03-09DF5AE6216D}"/>
    <cellStyle name="Comma 4 3 4 5 3" xfId="6276" xr:uid="{00000000-0005-0000-0000-0000AB090000}"/>
    <cellStyle name="Comma 4 3 4 5 3 2" xfId="14715" xr:uid="{D4390C02-E3F7-4382-AF5C-3484CB03E8FC}"/>
    <cellStyle name="Comma 4 3 4 5 4" xfId="10497" xr:uid="{BF4C8559-61B0-45FD-B93C-A92E40F71C95}"/>
    <cellStyle name="Comma 4 3 4 6" xfId="2404" xr:uid="{00000000-0005-0000-0000-0000AC090000}"/>
    <cellStyle name="Comma 4 3 4 6 2" xfId="6689" xr:uid="{00000000-0005-0000-0000-0000AD090000}"/>
    <cellStyle name="Comma 4 3 4 6 2 2" xfId="15128" xr:uid="{ACDA2FFD-8DB3-4F49-B1DD-1B9DD34BE897}"/>
    <cellStyle name="Comma 4 3 4 6 3" xfId="10910" xr:uid="{EAFBF5C8-636E-4830-87E0-80B560200696}"/>
    <cellStyle name="Comma 4 3 4 7" xfId="2700" xr:uid="{00000000-0005-0000-0000-0000AE090000}"/>
    <cellStyle name="Comma 4 3 4 8" xfId="2782" xr:uid="{00000000-0005-0000-0000-0000AF090000}"/>
    <cellStyle name="Comma 4 3 4 8 2" xfId="7006" xr:uid="{00000000-0005-0000-0000-0000B0090000}"/>
    <cellStyle name="Comma 4 3 4 8 2 2" xfId="15445" xr:uid="{BB089A67-3201-4C09-BF9C-2C6B6095E5D2}"/>
    <cellStyle name="Comma 4 3 4 8 3" xfId="11227" xr:uid="{531AD624-3FD9-40B4-8C69-67C83CBB29CB}"/>
    <cellStyle name="Comma 4 3 4 9" xfId="4623" xr:uid="{00000000-0005-0000-0000-0000B1090000}"/>
    <cellStyle name="Comma 4 3 4 9 2" xfId="13062" xr:uid="{D9DE77B3-5CA1-4B82-957D-D54AB60F929E}"/>
    <cellStyle name="Comma 4 3 5" xfId="152" xr:uid="{00000000-0005-0000-0000-0000B2090000}"/>
    <cellStyle name="Comma 4 3 5 10" xfId="8845" xr:uid="{CCDDCAAC-6781-4A5F-A66C-A9FC848D95EC}"/>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EEC40DF6-70D7-4A69-831D-BDC18146EF6A}"/>
    <cellStyle name="Comma 4 3 5 2 2 3" xfId="11404" xr:uid="{34F6C1EA-9D86-4932-A8BA-9EB71A9D789C}"/>
    <cellStyle name="Comma 4 3 5 2 3" xfId="5038" xr:uid="{00000000-0005-0000-0000-0000B6090000}"/>
    <cellStyle name="Comma 4 3 5 2 3 2" xfId="13477" xr:uid="{C66109ED-44E6-4804-9347-923729EB34A6}"/>
    <cellStyle name="Comma 4 3 5 2 4" xfId="9259" xr:uid="{1BE58079-AA09-4421-A18E-EC9010671F4C}"/>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919A62BF-56D5-4EB8-87AB-FF791E885C11}"/>
    <cellStyle name="Comma 4 3 5 3 2 3" xfId="11817" xr:uid="{898DE1D3-694C-4D18-B53D-44189FBF3526}"/>
    <cellStyle name="Comma 4 3 5 3 3" xfId="5451" xr:uid="{00000000-0005-0000-0000-0000BA090000}"/>
    <cellStyle name="Comma 4 3 5 3 3 2" xfId="13890" xr:uid="{0CB489CA-58C7-4BB0-AA7C-7523352A0FDD}"/>
    <cellStyle name="Comma 4 3 5 3 4" xfId="9672" xr:uid="{10F7C41B-6270-495F-B57E-AD40167CEC04}"/>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85F9D7B3-6A7D-4C6A-9415-F26B0D5F7824}"/>
    <cellStyle name="Comma 4 3 5 4 2 3" xfId="12230" xr:uid="{7A33ADD4-DF85-4924-B0C1-DC33368B3ACC}"/>
    <cellStyle name="Comma 4 3 5 4 3" xfId="5864" xr:uid="{00000000-0005-0000-0000-0000BE090000}"/>
    <cellStyle name="Comma 4 3 5 4 3 2" xfId="14303" xr:uid="{AA53C6B4-BABE-401D-8061-6A0449CD0044}"/>
    <cellStyle name="Comma 4 3 5 4 4" xfId="10085" xr:uid="{28E9C7D4-E0F5-4216-A5B9-DFAE8BA14B91}"/>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E44043CE-F29D-4842-8776-81F14C97412F}"/>
    <cellStyle name="Comma 4 3 5 5 2 3" xfId="12643" xr:uid="{24298079-033A-4B15-8059-EC329FE24210}"/>
    <cellStyle name="Comma 4 3 5 5 3" xfId="6277" xr:uid="{00000000-0005-0000-0000-0000C2090000}"/>
    <cellStyle name="Comma 4 3 5 5 3 2" xfId="14716" xr:uid="{E6470769-8557-43DC-9ED9-2FDA6869CCE3}"/>
    <cellStyle name="Comma 4 3 5 5 4" xfId="10498" xr:uid="{ECB379CB-DC54-4115-A902-F3F926CDCB18}"/>
    <cellStyle name="Comma 4 3 5 6" xfId="2405" xr:uid="{00000000-0005-0000-0000-0000C3090000}"/>
    <cellStyle name="Comma 4 3 5 6 2" xfId="6690" xr:uid="{00000000-0005-0000-0000-0000C4090000}"/>
    <cellStyle name="Comma 4 3 5 6 2 2" xfId="15129" xr:uid="{38C3896B-D52D-4030-AEA5-60410551A4B5}"/>
    <cellStyle name="Comma 4 3 5 6 3" xfId="10911" xr:uid="{9AA6828A-232D-4072-BC6C-4CE0AA216BE6}"/>
    <cellStyle name="Comma 4 3 5 7" xfId="2701" xr:uid="{00000000-0005-0000-0000-0000C5090000}"/>
    <cellStyle name="Comma 4 3 5 8" xfId="2783" xr:uid="{00000000-0005-0000-0000-0000C6090000}"/>
    <cellStyle name="Comma 4 3 5 8 2" xfId="7007" xr:uid="{00000000-0005-0000-0000-0000C7090000}"/>
    <cellStyle name="Comma 4 3 5 8 2 2" xfId="15446" xr:uid="{2BE5DECA-CCD2-479F-843D-998BC92042CC}"/>
    <cellStyle name="Comma 4 3 5 8 3" xfId="11228" xr:uid="{E615225B-0712-47E0-B530-D16292B4AD87}"/>
    <cellStyle name="Comma 4 3 5 9" xfId="4624" xr:uid="{00000000-0005-0000-0000-0000C8090000}"/>
    <cellStyle name="Comma 4 3 5 9 2" xfId="13063" xr:uid="{81589966-2542-486A-A5E7-80761CEC9EC2}"/>
    <cellStyle name="Comma 4 4" xfId="153" xr:uid="{00000000-0005-0000-0000-0000C9090000}"/>
    <cellStyle name="Comma 4 4 10" xfId="2784" xr:uid="{00000000-0005-0000-0000-0000CA090000}"/>
    <cellStyle name="Comma 4 4 10 2" xfId="7008" xr:uid="{00000000-0005-0000-0000-0000CB090000}"/>
    <cellStyle name="Comma 4 4 10 2 2" xfId="15447" xr:uid="{D8251C88-75CF-4EBC-9430-7E59626E7183}"/>
    <cellStyle name="Comma 4 4 10 3" xfId="11229" xr:uid="{EA678CA3-7B0E-4AEC-A1CA-FE460310B92C}"/>
    <cellStyle name="Comma 4 4 11" xfId="4625" xr:uid="{00000000-0005-0000-0000-0000CC090000}"/>
    <cellStyle name="Comma 4 4 11 2" xfId="13064" xr:uid="{0AF9C1EB-7F79-4323-8ED0-785BF1A39AF3}"/>
    <cellStyle name="Comma 4 4 12" xfId="8846" xr:uid="{4F7FF630-A915-478C-A747-381D9F2F2CEB}"/>
    <cellStyle name="Comma 4 4 2" xfId="154" xr:uid="{00000000-0005-0000-0000-0000CD090000}"/>
    <cellStyle name="Comma 4 4 2 10" xfId="4626" xr:uid="{00000000-0005-0000-0000-0000CE090000}"/>
    <cellStyle name="Comma 4 4 2 10 2" xfId="13065" xr:uid="{EF8182F5-2288-4081-9AE1-47626C6F95A2}"/>
    <cellStyle name="Comma 4 4 2 11" xfId="8847" xr:uid="{8DFFD5C5-38C2-4DF6-81B8-22F8A1C2CC12}"/>
    <cellStyle name="Comma 4 4 2 2" xfId="155" xr:uid="{00000000-0005-0000-0000-0000CF090000}"/>
    <cellStyle name="Comma 4 4 2 2 10" xfId="8848" xr:uid="{7100B768-E695-410A-93A7-31B51DA355A0}"/>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9B14A547-72BC-48FC-AEE8-C2CD59DDB291}"/>
    <cellStyle name="Comma 4 4 2 2 2 2 3" xfId="11407" xr:uid="{AC11066F-2260-40FF-A28A-6E573C823441}"/>
    <cellStyle name="Comma 4 4 2 2 2 3" xfId="5041" xr:uid="{00000000-0005-0000-0000-0000D3090000}"/>
    <cellStyle name="Comma 4 4 2 2 2 3 2" xfId="13480" xr:uid="{CE1C89E9-C32E-4B92-8383-3C55112854FE}"/>
    <cellStyle name="Comma 4 4 2 2 2 4" xfId="9262" xr:uid="{CA349F0B-B4DA-4FE1-BDB0-1AB98B978D1C}"/>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57163F0F-BAC7-4C0D-B496-C516784D2BB1}"/>
    <cellStyle name="Comma 4 4 2 2 3 2 3" xfId="11820" xr:uid="{DD32D0D9-5035-47AD-A727-F962C76DC382}"/>
    <cellStyle name="Comma 4 4 2 2 3 3" xfId="5454" xr:uid="{00000000-0005-0000-0000-0000D7090000}"/>
    <cellStyle name="Comma 4 4 2 2 3 3 2" xfId="13893" xr:uid="{BF8F81E5-B98E-4AF4-A7D2-D66F4B93716F}"/>
    <cellStyle name="Comma 4 4 2 2 3 4" xfId="9675" xr:uid="{036119D4-5382-4BAA-A888-71442674A907}"/>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5B0D8F3A-1485-4377-B834-DEA93EC13CD9}"/>
    <cellStyle name="Comma 4 4 2 2 4 2 3" xfId="12233" xr:uid="{FBD417B6-6A84-4AEE-B344-F8BA5C0F0C7B}"/>
    <cellStyle name="Comma 4 4 2 2 4 3" xfId="5867" xr:uid="{00000000-0005-0000-0000-0000DB090000}"/>
    <cellStyle name="Comma 4 4 2 2 4 3 2" xfId="14306" xr:uid="{C23D0476-C362-40FC-94F7-E0DEA3AFDB41}"/>
    <cellStyle name="Comma 4 4 2 2 4 4" xfId="10088" xr:uid="{3C894361-1E92-4BBA-804B-9BDCA81ACBC8}"/>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89866348-03E1-4015-BE9C-111E0A91A2AF}"/>
    <cellStyle name="Comma 4 4 2 2 5 2 3" xfId="12646" xr:uid="{4F10B214-B86C-4E92-A399-E160A6739DA9}"/>
    <cellStyle name="Comma 4 4 2 2 5 3" xfId="6280" xr:uid="{00000000-0005-0000-0000-0000DF090000}"/>
    <cellStyle name="Comma 4 4 2 2 5 3 2" xfId="14719" xr:uid="{C5AE90E2-C153-4CE0-889E-833466E0EFCA}"/>
    <cellStyle name="Comma 4 4 2 2 5 4" xfId="10501" xr:uid="{0FFBAF47-7007-4B47-BD1A-08CF024AE679}"/>
    <cellStyle name="Comma 4 4 2 2 6" xfId="2408" xr:uid="{00000000-0005-0000-0000-0000E0090000}"/>
    <cellStyle name="Comma 4 4 2 2 6 2" xfId="6693" xr:uid="{00000000-0005-0000-0000-0000E1090000}"/>
    <cellStyle name="Comma 4 4 2 2 6 2 2" xfId="15132" xr:uid="{9EDE6300-CA13-4EFF-9808-1D8D166CDB30}"/>
    <cellStyle name="Comma 4 4 2 2 6 3" xfId="10914" xr:uid="{F840BEAA-2D16-473C-AF8D-A930EC911928}"/>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CD80F564-4157-4133-AAC2-18B0B7FEE4AB}"/>
    <cellStyle name="Comma 4 4 2 2 8 3" xfId="11231" xr:uid="{BDE8CAC9-321A-4995-844C-C9FF3ED6A9BD}"/>
    <cellStyle name="Comma 4 4 2 2 9" xfId="4627" xr:uid="{00000000-0005-0000-0000-0000E5090000}"/>
    <cellStyle name="Comma 4 4 2 2 9 2" xfId="13066" xr:uid="{12B7428F-AFF2-407E-BF7A-2EFCC1F67076}"/>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E1A77240-E173-4CF3-A350-7AC293B33564}"/>
    <cellStyle name="Comma 4 4 2 3 2 3" xfId="11406" xr:uid="{345374AD-489C-4B5E-B19D-9E6901C40C85}"/>
    <cellStyle name="Comma 4 4 2 3 3" xfId="5040" xr:uid="{00000000-0005-0000-0000-0000E9090000}"/>
    <cellStyle name="Comma 4 4 2 3 3 2" xfId="13479" xr:uid="{A1EA780F-430D-4230-8A97-BDF8930A3B6C}"/>
    <cellStyle name="Comma 4 4 2 3 4" xfId="9261" xr:uid="{20246741-CAF1-4816-BE01-3402DE3A3A4A}"/>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AE0D9051-0AC6-41D6-B63C-4D86C2CE9515}"/>
    <cellStyle name="Comma 4 4 2 4 2 3" xfId="11819" xr:uid="{60BB6CE9-0ED3-4DF0-B0C9-C8500C60F19A}"/>
    <cellStyle name="Comma 4 4 2 4 3" xfId="5453" xr:uid="{00000000-0005-0000-0000-0000ED090000}"/>
    <cellStyle name="Comma 4 4 2 4 3 2" xfId="13892" xr:uid="{C2C09C7D-7A20-4B7F-9FF8-73766CEE6585}"/>
    <cellStyle name="Comma 4 4 2 4 4" xfId="9674" xr:uid="{9114EB61-D6A6-4E9F-B1A3-0F2012691E40}"/>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97D0722C-B194-4E33-8CE2-558CDC9C1E03}"/>
    <cellStyle name="Comma 4 4 2 5 2 3" xfId="12232" xr:uid="{C762CD29-F395-4D59-97E7-FE2F1898D207}"/>
    <cellStyle name="Comma 4 4 2 5 3" xfId="5866" xr:uid="{00000000-0005-0000-0000-0000F1090000}"/>
    <cellStyle name="Comma 4 4 2 5 3 2" xfId="14305" xr:uid="{CCBFC503-A786-4CCA-AA79-CED8D1DABD79}"/>
    <cellStyle name="Comma 4 4 2 5 4" xfId="10087" xr:uid="{1180D3E9-2780-46C4-B690-EDB79C148CF7}"/>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BE792D6D-1935-4ADE-AFCB-C1494B369522}"/>
    <cellStyle name="Comma 4 4 2 6 2 3" xfId="12645" xr:uid="{7B3EB4B0-F82E-4282-806F-3D5E9C43319A}"/>
    <cellStyle name="Comma 4 4 2 6 3" xfId="6279" xr:uid="{00000000-0005-0000-0000-0000F5090000}"/>
    <cellStyle name="Comma 4 4 2 6 3 2" xfId="14718" xr:uid="{623B217A-A74A-4099-8A30-54DB802CC98D}"/>
    <cellStyle name="Comma 4 4 2 6 4" xfId="10500" xr:uid="{345B4832-C4A9-4F9E-856D-5F848328BA8D}"/>
    <cellStyle name="Comma 4 4 2 7" xfId="2407" xr:uid="{00000000-0005-0000-0000-0000F6090000}"/>
    <cellStyle name="Comma 4 4 2 7 2" xfId="6692" xr:uid="{00000000-0005-0000-0000-0000F7090000}"/>
    <cellStyle name="Comma 4 4 2 7 2 2" xfId="15131" xr:uid="{F1AB0DA2-C413-4ACE-AF4F-94FE15426D88}"/>
    <cellStyle name="Comma 4 4 2 7 3" xfId="10913" xr:uid="{58D6ADFE-E8B5-4592-BF84-D486C7612E8E}"/>
    <cellStyle name="Comma 4 4 2 8" xfId="2703" xr:uid="{00000000-0005-0000-0000-0000F8090000}"/>
    <cellStyle name="Comma 4 4 2 9" xfId="2785" xr:uid="{00000000-0005-0000-0000-0000F9090000}"/>
    <cellStyle name="Comma 4 4 2 9 2" xfId="7009" xr:uid="{00000000-0005-0000-0000-0000FA090000}"/>
    <cellStyle name="Comma 4 4 2 9 2 2" xfId="15448" xr:uid="{CA1AF450-A37F-4375-81FC-E3AF14E82159}"/>
    <cellStyle name="Comma 4 4 2 9 3" xfId="11230" xr:uid="{67750DA6-AE90-4055-8224-5BEB4C72AA91}"/>
    <cellStyle name="Comma 4 4 3" xfId="156" xr:uid="{00000000-0005-0000-0000-0000FB090000}"/>
    <cellStyle name="Comma 4 4 3 10" xfId="8849" xr:uid="{FAC26D3B-443C-44FF-95F5-B2138571AA08}"/>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65BC1ED2-3089-48E7-8FD9-17476CDF3760}"/>
    <cellStyle name="Comma 4 4 3 2 2 3" xfId="11408" xr:uid="{1697F47C-AE16-4B99-9F64-E9039F3FAAF2}"/>
    <cellStyle name="Comma 4 4 3 2 3" xfId="5042" xr:uid="{00000000-0005-0000-0000-0000FF090000}"/>
    <cellStyle name="Comma 4 4 3 2 3 2" xfId="13481" xr:uid="{96A6714F-B22A-477D-B799-7BDFF25496F0}"/>
    <cellStyle name="Comma 4 4 3 2 4" xfId="9263" xr:uid="{8F208CCE-E47A-407C-B175-7995D644ABF6}"/>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B1DEDD1C-1961-4375-BC4E-9908E9F481DE}"/>
    <cellStyle name="Comma 4 4 3 3 2 3" xfId="11821" xr:uid="{2F756B25-6F0A-4E66-B181-A17665CDB2BC}"/>
    <cellStyle name="Comma 4 4 3 3 3" xfId="5455" xr:uid="{00000000-0005-0000-0000-0000030A0000}"/>
    <cellStyle name="Comma 4 4 3 3 3 2" xfId="13894" xr:uid="{13772227-7C37-4D8E-85A4-B63384509CF2}"/>
    <cellStyle name="Comma 4 4 3 3 4" xfId="9676" xr:uid="{31FBB888-E1BC-47B9-9E23-14C1E6CBFA71}"/>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E379BA55-BECB-4525-8B0A-D7EFA31F6667}"/>
    <cellStyle name="Comma 4 4 3 4 2 3" xfId="12234" xr:uid="{F43F1A07-F3EE-45FF-9574-10DDCCB066CA}"/>
    <cellStyle name="Comma 4 4 3 4 3" xfId="5868" xr:uid="{00000000-0005-0000-0000-0000070A0000}"/>
    <cellStyle name="Comma 4 4 3 4 3 2" xfId="14307" xr:uid="{55EDCBA5-F120-4D44-9153-9F9BA0EF93E2}"/>
    <cellStyle name="Comma 4 4 3 4 4" xfId="10089" xr:uid="{FAD54A2F-E5D9-4955-9F02-A98D10BBCA9F}"/>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D7C0E8C9-8646-4297-B567-8CCE5BC36DA4}"/>
    <cellStyle name="Comma 4 4 3 5 2 3" xfId="12647" xr:uid="{838BB458-F5DE-456B-A486-5E7C828E37E6}"/>
    <cellStyle name="Comma 4 4 3 5 3" xfId="6281" xr:uid="{00000000-0005-0000-0000-00000B0A0000}"/>
    <cellStyle name="Comma 4 4 3 5 3 2" xfId="14720" xr:uid="{117A23A4-AD5C-4987-A347-9C4DE8584154}"/>
    <cellStyle name="Comma 4 4 3 5 4" xfId="10502" xr:uid="{147A86B9-E2A7-43AF-80F8-9C3949FE7EF4}"/>
    <cellStyle name="Comma 4 4 3 6" xfId="2409" xr:uid="{00000000-0005-0000-0000-00000C0A0000}"/>
    <cellStyle name="Comma 4 4 3 6 2" xfId="6694" xr:uid="{00000000-0005-0000-0000-00000D0A0000}"/>
    <cellStyle name="Comma 4 4 3 6 2 2" xfId="15133" xr:uid="{E1C34D13-47CA-4C9D-8AC0-66ED1C07047F}"/>
    <cellStyle name="Comma 4 4 3 6 3" xfId="10915" xr:uid="{0497E6D3-09F8-4F0F-BA2D-A17F1FB903DD}"/>
    <cellStyle name="Comma 4 4 3 7" xfId="2705" xr:uid="{00000000-0005-0000-0000-00000E0A0000}"/>
    <cellStyle name="Comma 4 4 3 8" xfId="2787" xr:uid="{00000000-0005-0000-0000-00000F0A0000}"/>
    <cellStyle name="Comma 4 4 3 8 2" xfId="7011" xr:uid="{00000000-0005-0000-0000-0000100A0000}"/>
    <cellStyle name="Comma 4 4 3 8 2 2" xfId="15450" xr:uid="{A6FD6B0A-72D3-49B2-90F2-5271017A4BEE}"/>
    <cellStyle name="Comma 4 4 3 8 3" xfId="11232" xr:uid="{970739BC-BAB3-467D-98BA-5584A0A85FB2}"/>
    <cellStyle name="Comma 4 4 3 9" xfId="4628" xr:uid="{00000000-0005-0000-0000-0000110A0000}"/>
    <cellStyle name="Comma 4 4 3 9 2" xfId="13067" xr:uid="{54090CAA-489D-43EC-A372-8683DE4671D9}"/>
    <cellStyle name="Comma 4 4 4" xfId="690" xr:uid="{00000000-0005-0000-0000-0000120A0000}"/>
    <cellStyle name="Comma 4 4 4 2" xfId="2961" xr:uid="{00000000-0005-0000-0000-0000130A0000}"/>
    <cellStyle name="Comma 4 4 4 2 2" xfId="7184" xr:uid="{00000000-0005-0000-0000-0000140A0000}"/>
    <cellStyle name="Comma 4 4 4 2 2 2" xfId="15623" xr:uid="{E862105A-7C1F-42D1-A880-CDE326E45020}"/>
    <cellStyle name="Comma 4 4 4 2 3" xfId="11405" xr:uid="{36722FF5-6A7E-4237-A9B8-5405736FC520}"/>
    <cellStyle name="Comma 4 4 4 3" xfId="5039" xr:uid="{00000000-0005-0000-0000-0000150A0000}"/>
    <cellStyle name="Comma 4 4 4 3 2" xfId="13478" xr:uid="{DAA45628-A2D5-4EE5-87B3-E41BDCF48895}"/>
    <cellStyle name="Comma 4 4 4 4" xfId="9260" xr:uid="{718ACB61-5C29-4BF5-ABA6-81B3401A9904}"/>
    <cellStyle name="Comma 4 4 5" xfId="1143" xr:uid="{00000000-0005-0000-0000-0000160A0000}"/>
    <cellStyle name="Comma 4 4 5 2" xfId="3374" xr:uid="{00000000-0005-0000-0000-0000170A0000}"/>
    <cellStyle name="Comma 4 4 5 2 2" xfId="7597" xr:uid="{00000000-0005-0000-0000-0000180A0000}"/>
    <cellStyle name="Comma 4 4 5 2 2 2" xfId="16036" xr:uid="{A29C49B6-D0EB-43EA-8929-9BF0D2D0052F}"/>
    <cellStyle name="Comma 4 4 5 2 3" xfId="11818" xr:uid="{F499D3A9-C86C-4338-A0FD-56A55A1526F5}"/>
    <cellStyle name="Comma 4 4 5 3" xfId="5452" xr:uid="{00000000-0005-0000-0000-0000190A0000}"/>
    <cellStyle name="Comma 4 4 5 3 2" xfId="13891" xr:uid="{306B315B-2D58-45FC-A681-B7E298032E2E}"/>
    <cellStyle name="Comma 4 4 5 4" xfId="9673" xr:uid="{7165B97C-687E-4ADD-BCCC-47B5DC23161F}"/>
    <cellStyle name="Comma 4 4 6" xfId="1557" xr:uid="{00000000-0005-0000-0000-00001A0A0000}"/>
    <cellStyle name="Comma 4 4 6 2" xfId="3787" xr:uid="{00000000-0005-0000-0000-00001B0A0000}"/>
    <cellStyle name="Comma 4 4 6 2 2" xfId="8010" xr:uid="{00000000-0005-0000-0000-00001C0A0000}"/>
    <cellStyle name="Comma 4 4 6 2 2 2" xfId="16449" xr:uid="{8D7B62A4-160B-4BEE-8BDB-06C155DC402A}"/>
    <cellStyle name="Comma 4 4 6 2 3" xfId="12231" xr:uid="{82891C46-8BEC-44E4-BFC9-A5BF0CA6DAE6}"/>
    <cellStyle name="Comma 4 4 6 3" xfId="5865" xr:uid="{00000000-0005-0000-0000-00001D0A0000}"/>
    <cellStyle name="Comma 4 4 6 3 2" xfId="14304" xr:uid="{32DC52F7-D7EB-4F68-BA6D-EA535A177FBA}"/>
    <cellStyle name="Comma 4 4 6 4" xfId="10086" xr:uid="{8434C4CC-F672-4729-AEB7-71836ED4EFBB}"/>
    <cellStyle name="Comma 4 4 7" xfId="1971" xr:uid="{00000000-0005-0000-0000-00001E0A0000}"/>
    <cellStyle name="Comma 4 4 7 2" xfId="4200" xr:uid="{00000000-0005-0000-0000-00001F0A0000}"/>
    <cellStyle name="Comma 4 4 7 2 2" xfId="8423" xr:uid="{00000000-0005-0000-0000-0000200A0000}"/>
    <cellStyle name="Comma 4 4 7 2 2 2" xfId="16862" xr:uid="{3E305E13-CE59-4B7C-9E44-44836F095414}"/>
    <cellStyle name="Comma 4 4 7 2 3" xfId="12644" xr:uid="{CADB0FBA-1A5F-47C5-ABBF-49D7473EB086}"/>
    <cellStyle name="Comma 4 4 7 3" xfId="6278" xr:uid="{00000000-0005-0000-0000-0000210A0000}"/>
    <cellStyle name="Comma 4 4 7 3 2" xfId="14717" xr:uid="{E2E55A79-5A30-4600-B7B3-06583D916D49}"/>
    <cellStyle name="Comma 4 4 7 4" xfId="10499" xr:uid="{30BC5C22-7BA9-4DE7-AA05-619B1E6B0788}"/>
    <cellStyle name="Comma 4 4 8" xfId="2406" xr:uid="{00000000-0005-0000-0000-0000220A0000}"/>
    <cellStyle name="Comma 4 4 8 2" xfId="6691" xr:uid="{00000000-0005-0000-0000-0000230A0000}"/>
    <cellStyle name="Comma 4 4 8 2 2" xfId="15130" xr:uid="{035BFEA6-1E07-4F47-9835-6FE6F44494A0}"/>
    <cellStyle name="Comma 4 4 8 3" xfId="10912" xr:uid="{A8DE38AB-18CA-4E6C-A2F4-532976D7A30D}"/>
    <cellStyle name="Comma 4 4 9" xfId="2702" xr:uid="{00000000-0005-0000-0000-0000240A0000}"/>
    <cellStyle name="Comma 4 5" xfId="157" xr:uid="{00000000-0005-0000-0000-0000250A0000}"/>
    <cellStyle name="Comma 4 5 10" xfId="4629" xr:uid="{00000000-0005-0000-0000-0000260A0000}"/>
    <cellStyle name="Comma 4 5 10 2" xfId="13068" xr:uid="{F448B207-96D5-472C-A2A3-FBDF6182DB71}"/>
    <cellStyle name="Comma 4 5 11" xfId="8850" xr:uid="{A956E683-CC19-4E1A-95B7-4D1498C359AA}"/>
    <cellStyle name="Comma 4 5 2" xfId="158" xr:uid="{00000000-0005-0000-0000-0000270A0000}"/>
    <cellStyle name="Comma 4 5 2 10" xfId="8851" xr:uid="{43D7D101-F116-4E5C-BD02-A210E75B7258}"/>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D08428C8-9CB1-4C4F-AF6B-FD149726BFA9}"/>
    <cellStyle name="Comma 4 5 2 2 2 3" xfId="11410" xr:uid="{BEAA885B-2A42-4CBF-B657-205C965D0938}"/>
    <cellStyle name="Comma 4 5 2 2 3" xfId="5044" xr:uid="{00000000-0005-0000-0000-00002B0A0000}"/>
    <cellStyle name="Comma 4 5 2 2 3 2" xfId="13483" xr:uid="{4B74C7F2-4179-437A-8BA2-5D92144ACE73}"/>
    <cellStyle name="Comma 4 5 2 2 4" xfId="9265" xr:uid="{53D4B4A5-B523-41CD-B779-DA1D86A33586}"/>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3042DB4F-87F1-4DE0-8D6A-778EBEECA6ED}"/>
    <cellStyle name="Comma 4 5 2 3 2 3" xfId="11823" xr:uid="{45AB7FB1-6C7E-43A8-94D7-110F5258B0FB}"/>
    <cellStyle name="Comma 4 5 2 3 3" xfId="5457" xr:uid="{00000000-0005-0000-0000-00002F0A0000}"/>
    <cellStyle name="Comma 4 5 2 3 3 2" xfId="13896" xr:uid="{1F79CF3E-120D-4EEC-8F77-3017C7CB3367}"/>
    <cellStyle name="Comma 4 5 2 3 4" xfId="9678" xr:uid="{B79230F6-7013-49D9-905B-F2A9793AD156}"/>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C4FD4144-9759-4ADE-BC94-A3D7068B4B66}"/>
    <cellStyle name="Comma 4 5 2 4 2 3" xfId="12236" xr:uid="{C6B3CBE3-92F3-413C-97A2-E4F2F87973DA}"/>
    <cellStyle name="Comma 4 5 2 4 3" xfId="5870" xr:uid="{00000000-0005-0000-0000-0000330A0000}"/>
    <cellStyle name="Comma 4 5 2 4 3 2" xfId="14309" xr:uid="{FCC6A22C-E4F1-4E59-8631-31CD29805B60}"/>
    <cellStyle name="Comma 4 5 2 4 4" xfId="10091" xr:uid="{63023CE3-7225-41FA-BE8C-6D9D698FEC6F}"/>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0A80CA27-D38D-4518-A42C-CD04AD7B1DA1}"/>
    <cellStyle name="Comma 4 5 2 5 2 3" xfId="12649" xr:uid="{7D1C91F0-17C0-4B4C-ADC0-03664F625983}"/>
    <cellStyle name="Comma 4 5 2 5 3" xfId="6283" xr:uid="{00000000-0005-0000-0000-0000370A0000}"/>
    <cellStyle name="Comma 4 5 2 5 3 2" xfId="14722" xr:uid="{219D236B-6B9B-4AC2-9A00-D3E3598DE8CA}"/>
    <cellStyle name="Comma 4 5 2 5 4" xfId="10504" xr:uid="{1F082F3C-CC5C-4030-8E51-7BB8A4895CD2}"/>
    <cellStyle name="Comma 4 5 2 6" xfId="2411" xr:uid="{00000000-0005-0000-0000-0000380A0000}"/>
    <cellStyle name="Comma 4 5 2 6 2" xfId="6696" xr:uid="{00000000-0005-0000-0000-0000390A0000}"/>
    <cellStyle name="Comma 4 5 2 6 2 2" xfId="15135" xr:uid="{5BAE09BC-951F-4CA1-B978-11302A4224A7}"/>
    <cellStyle name="Comma 4 5 2 6 3" xfId="10917" xr:uid="{B9A1B8DF-9960-4BE7-9D67-90EF99FDE066}"/>
    <cellStyle name="Comma 4 5 2 7" xfId="2707" xr:uid="{00000000-0005-0000-0000-00003A0A0000}"/>
    <cellStyle name="Comma 4 5 2 8" xfId="2789" xr:uid="{00000000-0005-0000-0000-00003B0A0000}"/>
    <cellStyle name="Comma 4 5 2 8 2" xfId="7013" xr:uid="{00000000-0005-0000-0000-00003C0A0000}"/>
    <cellStyle name="Comma 4 5 2 8 2 2" xfId="15452" xr:uid="{8E49E4C3-E114-4368-8697-E41BF70718DB}"/>
    <cellStyle name="Comma 4 5 2 8 3" xfId="11234" xr:uid="{22B5B354-E9A7-4268-BF04-C1B5DB37C120}"/>
    <cellStyle name="Comma 4 5 2 9" xfId="4630" xr:uid="{00000000-0005-0000-0000-00003D0A0000}"/>
    <cellStyle name="Comma 4 5 2 9 2" xfId="13069" xr:uid="{536D5320-F291-415B-9E94-C0EEE00CFD07}"/>
    <cellStyle name="Comma 4 5 3" xfId="694" xr:uid="{00000000-0005-0000-0000-00003E0A0000}"/>
    <cellStyle name="Comma 4 5 3 2" xfId="2965" xr:uid="{00000000-0005-0000-0000-00003F0A0000}"/>
    <cellStyle name="Comma 4 5 3 2 2" xfId="7188" xr:uid="{00000000-0005-0000-0000-0000400A0000}"/>
    <cellStyle name="Comma 4 5 3 2 2 2" xfId="15627" xr:uid="{C4446B6B-57D4-4330-B4AA-09087B4F027B}"/>
    <cellStyle name="Comma 4 5 3 2 3" xfId="11409" xr:uid="{45E50B2A-A797-4AE6-A0C0-C7D0E9E263CC}"/>
    <cellStyle name="Comma 4 5 3 3" xfId="5043" xr:uid="{00000000-0005-0000-0000-0000410A0000}"/>
    <cellStyle name="Comma 4 5 3 3 2" xfId="13482" xr:uid="{C72BBE9F-43A3-4068-ADFB-AD51553BC169}"/>
    <cellStyle name="Comma 4 5 3 4" xfId="9264" xr:uid="{2A5CF94D-F91B-4472-87EB-1876BA26463C}"/>
    <cellStyle name="Comma 4 5 4" xfId="1147" xr:uid="{00000000-0005-0000-0000-0000420A0000}"/>
    <cellStyle name="Comma 4 5 4 2" xfId="3378" xr:uid="{00000000-0005-0000-0000-0000430A0000}"/>
    <cellStyle name="Comma 4 5 4 2 2" xfId="7601" xr:uid="{00000000-0005-0000-0000-0000440A0000}"/>
    <cellStyle name="Comma 4 5 4 2 2 2" xfId="16040" xr:uid="{DD340509-48EB-4913-9DD9-80E4DE69EE72}"/>
    <cellStyle name="Comma 4 5 4 2 3" xfId="11822" xr:uid="{F68DFBFA-E6E6-471F-A43F-1FE245503CA3}"/>
    <cellStyle name="Comma 4 5 4 3" xfId="5456" xr:uid="{00000000-0005-0000-0000-0000450A0000}"/>
    <cellStyle name="Comma 4 5 4 3 2" xfId="13895" xr:uid="{60F4AAC5-8C15-4363-B60E-EE0345839A01}"/>
    <cellStyle name="Comma 4 5 4 4" xfId="9677" xr:uid="{0355B280-7571-4A47-B50A-9EAC8F2F99B4}"/>
    <cellStyle name="Comma 4 5 5" xfId="1561" xr:uid="{00000000-0005-0000-0000-0000460A0000}"/>
    <cellStyle name="Comma 4 5 5 2" xfId="3791" xr:uid="{00000000-0005-0000-0000-0000470A0000}"/>
    <cellStyle name="Comma 4 5 5 2 2" xfId="8014" xr:uid="{00000000-0005-0000-0000-0000480A0000}"/>
    <cellStyle name="Comma 4 5 5 2 2 2" xfId="16453" xr:uid="{F7DF7AD3-097D-4F9B-8B7F-AB463CD7FE32}"/>
    <cellStyle name="Comma 4 5 5 2 3" xfId="12235" xr:uid="{98CBFF44-5385-4EDB-8DB6-C08676DA9044}"/>
    <cellStyle name="Comma 4 5 5 3" xfId="5869" xr:uid="{00000000-0005-0000-0000-0000490A0000}"/>
    <cellStyle name="Comma 4 5 5 3 2" xfId="14308" xr:uid="{E453D7EF-AE87-42E4-B22E-1CEE4E7C7C9C}"/>
    <cellStyle name="Comma 4 5 5 4" xfId="10090" xr:uid="{9E7B6AC5-BE63-49FC-BD1F-FB5B0DD60D97}"/>
    <cellStyle name="Comma 4 5 6" xfId="1975" xr:uid="{00000000-0005-0000-0000-00004A0A0000}"/>
    <cellStyle name="Comma 4 5 6 2" xfId="4204" xr:uid="{00000000-0005-0000-0000-00004B0A0000}"/>
    <cellStyle name="Comma 4 5 6 2 2" xfId="8427" xr:uid="{00000000-0005-0000-0000-00004C0A0000}"/>
    <cellStyle name="Comma 4 5 6 2 2 2" xfId="16866" xr:uid="{B14EECFB-4561-4192-9E21-BA76E540C95D}"/>
    <cellStyle name="Comma 4 5 6 2 3" xfId="12648" xr:uid="{EBEB7FA6-3613-4C9F-BEB9-11DE67065462}"/>
    <cellStyle name="Comma 4 5 6 3" xfId="6282" xr:uid="{00000000-0005-0000-0000-00004D0A0000}"/>
    <cellStyle name="Comma 4 5 6 3 2" xfId="14721" xr:uid="{060B339A-C6FA-4A30-A2F0-304ED905432D}"/>
    <cellStyle name="Comma 4 5 6 4" xfId="10503" xr:uid="{84134A29-F93C-4BFC-A1C0-7EC0EBB7129B}"/>
    <cellStyle name="Comma 4 5 7" xfId="2410" xr:uid="{00000000-0005-0000-0000-00004E0A0000}"/>
    <cellStyle name="Comma 4 5 7 2" xfId="6695" xr:uid="{00000000-0005-0000-0000-00004F0A0000}"/>
    <cellStyle name="Comma 4 5 7 2 2" xfId="15134" xr:uid="{F76A75CA-5CBD-41A6-85C5-D6F95EAAE58F}"/>
    <cellStyle name="Comma 4 5 7 3" xfId="10916" xr:uid="{8279AC00-8E13-474E-94DF-21DD1F284804}"/>
    <cellStyle name="Comma 4 5 8" xfId="2706" xr:uid="{00000000-0005-0000-0000-0000500A0000}"/>
    <cellStyle name="Comma 4 5 9" xfId="2788" xr:uid="{00000000-0005-0000-0000-0000510A0000}"/>
    <cellStyle name="Comma 4 5 9 2" xfId="7012" xr:uid="{00000000-0005-0000-0000-0000520A0000}"/>
    <cellStyle name="Comma 4 5 9 2 2" xfId="15451" xr:uid="{AE97B2A2-0A6A-4A27-AD82-ED32F498DA01}"/>
    <cellStyle name="Comma 4 5 9 3" xfId="11233" xr:uid="{F0357FAD-2F7A-4ED2-83A3-EE31E08A2FFB}"/>
    <cellStyle name="Comma 4 6" xfId="159" xr:uid="{00000000-0005-0000-0000-0000530A0000}"/>
    <cellStyle name="Comma 4 6 10" xfId="8852" xr:uid="{F75F364C-BBCA-4677-9BC2-88F2A84430AD}"/>
    <cellStyle name="Comma 4 6 2" xfId="696" xr:uid="{00000000-0005-0000-0000-0000540A0000}"/>
    <cellStyle name="Comma 4 6 2 2" xfId="2967" xr:uid="{00000000-0005-0000-0000-0000550A0000}"/>
    <cellStyle name="Comma 4 6 2 2 2" xfId="7190" xr:uid="{00000000-0005-0000-0000-0000560A0000}"/>
    <cellStyle name="Comma 4 6 2 2 2 2" xfId="15629" xr:uid="{6B550754-AFD5-4844-84C5-019386068AB4}"/>
    <cellStyle name="Comma 4 6 2 2 3" xfId="11411" xr:uid="{90C90634-8377-4F71-8E80-EA4B0DBD85E5}"/>
    <cellStyle name="Comma 4 6 2 3" xfId="5045" xr:uid="{00000000-0005-0000-0000-0000570A0000}"/>
    <cellStyle name="Comma 4 6 2 3 2" xfId="13484" xr:uid="{994C7B7E-8A72-423D-8EA4-56C0CF25F0B7}"/>
    <cellStyle name="Comma 4 6 2 4" xfId="9266" xr:uid="{ACC81B07-91DB-41D2-997C-B2A9AB44B307}"/>
    <cellStyle name="Comma 4 6 3" xfId="1149" xr:uid="{00000000-0005-0000-0000-0000580A0000}"/>
    <cellStyle name="Comma 4 6 3 2" xfId="3380" xr:uid="{00000000-0005-0000-0000-0000590A0000}"/>
    <cellStyle name="Comma 4 6 3 2 2" xfId="7603" xr:uid="{00000000-0005-0000-0000-00005A0A0000}"/>
    <cellStyle name="Comma 4 6 3 2 2 2" xfId="16042" xr:uid="{71CDF427-CE31-423F-A9D1-E47170EF8CBB}"/>
    <cellStyle name="Comma 4 6 3 2 3" xfId="11824" xr:uid="{7644481D-5EC4-4E86-A795-401A386D91BD}"/>
    <cellStyle name="Comma 4 6 3 3" xfId="5458" xr:uid="{00000000-0005-0000-0000-00005B0A0000}"/>
    <cellStyle name="Comma 4 6 3 3 2" xfId="13897" xr:uid="{E704E622-69BA-4D61-8B80-BB87217C0BB0}"/>
    <cellStyle name="Comma 4 6 3 4" xfId="9679" xr:uid="{F5E2EB15-11FC-4E87-88C4-112AA7575B5E}"/>
    <cellStyle name="Comma 4 6 4" xfId="1563" xr:uid="{00000000-0005-0000-0000-00005C0A0000}"/>
    <cellStyle name="Comma 4 6 4 2" xfId="3793" xr:uid="{00000000-0005-0000-0000-00005D0A0000}"/>
    <cellStyle name="Comma 4 6 4 2 2" xfId="8016" xr:uid="{00000000-0005-0000-0000-00005E0A0000}"/>
    <cellStyle name="Comma 4 6 4 2 2 2" xfId="16455" xr:uid="{D94D7B9F-A9BB-498A-A5DD-FF130DAEC9FC}"/>
    <cellStyle name="Comma 4 6 4 2 3" xfId="12237" xr:uid="{18EB5BD1-6A23-4435-9648-DE533BB02383}"/>
    <cellStyle name="Comma 4 6 4 3" xfId="5871" xr:uid="{00000000-0005-0000-0000-00005F0A0000}"/>
    <cellStyle name="Comma 4 6 4 3 2" xfId="14310" xr:uid="{92D9B576-CC60-4ACE-A8E2-FA82A66CBC47}"/>
    <cellStyle name="Comma 4 6 4 4" xfId="10092" xr:uid="{E229A104-C5BF-423D-ABA4-7B08B8DD979A}"/>
    <cellStyle name="Comma 4 6 5" xfId="1977" xr:uid="{00000000-0005-0000-0000-0000600A0000}"/>
    <cellStyle name="Comma 4 6 5 2" xfId="4206" xr:uid="{00000000-0005-0000-0000-0000610A0000}"/>
    <cellStyle name="Comma 4 6 5 2 2" xfId="8429" xr:uid="{00000000-0005-0000-0000-0000620A0000}"/>
    <cellStyle name="Comma 4 6 5 2 2 2" xfId="16868" xr:uid="{0EEF77C0-08C4-4546-A1C4-2277CC0687D8}"/>
    <cellStyle name="Comma 4 6 5 2 3" xfId="12650" xr:uid="{241D8B32-48E3-43A6-A4FB-82ED903463E7}"/>
    <cellStyle name="Comma 4 6 5 3" xfId="6284" xr:uid="{00000000-0005-0000-0000-0000630A0000}"/>
    <cellStyle name="Comma 4 6 5 3 2" xfId="14723" xr:uid="{1F536469-CC1B-41BF-95DC-405922F0B2D5}"/>
    <cellStyle name="Comma 4 6 5 4" xfId="10505" xr:uid="{D0AA1A5A-270D-4AC0-9C1F-F89A0A9EB5F0}"/>
    <cellStyle name="Comma 4 6 6" xfId="2412" xr:uid="{00000000-0005-0000-0000-0000640A0000}"/>
    <cellStyle name="Comma 4 6 6 2" xfId="6697" xr:uid="{00000000-0005-0000-0000-0000650A0000}"/>
    <cellStyle name="Comma 4 6 6 2 2" xfId="15136" xr:uid="{A93B5BD2-9822-4BCA-8EA5-61B9B6E11C61}"/>
    <cellStyle name="Comma 4 6 6 3" xfId="10918" xr:uid="{869CF366-212F-4C52-94B4-45C759DD76B1}"/>
    <cellStyle name="Comma 4 6 7" xfId="2708" xr:uid="{00000000-0005-0000-0000-0000660A0000}"/>
    <cellStyle name="Comma 4 6 8" xfId="2790" xr:uid="{00000000-0005-0000-0000-0000670A0000}"/>
    <cellStyle name="Comma 4 6 8 2" xfId="7014" xr:uid="{00000000-0005-0000-0000-0000680A0000}"/>
    <cellStyle name="Comma 4 6 8 2 2" xfId="15453" xr:uid="{EF3D9456-DD71-45C1-872B-D56164C362A5}"/>
    <cellStyle name="Comma 4 6 8 3" xfId="11235" xr:uid="{5B0F932C-9495-4F5B-AD49-5E1E32B0FA3F}"/>
    <cellStyle name="Comma 4 6 9" xfId="4631" xr:uid="{00000000-0005-0000-0000-0000690A0000}"/>
    <cellStyle name="Comma 4 6 9 2" xfId="13070" xr:uid="{235305C1-A9FB-4F70-AF69-B0108796DDC6}"/>
    <cellStyle name="Comma 4 7" xfId="160" xr:uid="{00000000-0005-0000-0000-00006A0A0000}"/>
    <cellStyle name="Comma 4 7 10" xfId="8853" xr:uid="{00F3000D-8637-4C4F-8151-782CA47349C5}"/>
    <cellStyle name="Comma 4 7 2" xfId="697" xr:uid="{00000000-0005-0000-0000-00006B0A0000}"/>
    <cellStyle name="Comma 4 7 2 2" xfId="2968" xr:uid="{00000000-0005-0000-0000-00006C0A0000}"/>
    <cellStyle name="Comma 4 7 2 2 2" xfId="7191" xr:uid="{00000000-0005-0000-0000-00006D0A0000}"/>
    <cellStyle name="Comma 4 7 2 2 2 2" xfId="15630" xr:uid="{8C6A11C4-E2EA-4BE2-92A9-B113952692B3}"/>
    <cellStyle name="Comma 4 7 2 2 3" xfId="11412" xr:uid="{3C8600F3-3C10-434A-A6F6-25B8EB787F70}"/>
    <cellStyle name="Comma 4 7 2 3" xfId="5046" xr:uid="{00000000-0005-0000-0000-00006E0A0000}"/>
    <cellStyle name="Comma 4 7 2 3 2" xfId="13485" xr:uid="{EEC775B4-AC44-4E07-8089-2E490C5424C3}"/>
    <cellStyle name="Comma 4 7 2 4" xfId="9267" xr:uid="{872DB073-9F98-4BE8-AA11-844F6B17FE82}"/>
    <cellStyle name="Comma 4 7 3" xfId="1150" xr:uid="{00000000-0005-0000-0000-00006F0A0000}"/>
    <cellStyle name="Comma 4 7 3 2" xfId="3381" xr:uid="{00000000-0005-0000-0000-0000700A0000}"/>
    <cellStyle name="Comma 4 7 3 2 2" xfId="7604" xr:uid="{00000000-0005-0000-0000-0000710A0000}"/>
    <cellStyle name="Comma 4 7 3 2 2 2" xfId="16043" xr:uid="{DABF1A25-C8D8-47DA-9442-C43623EA441E}"/>
    <cellStyle name="Comma 4 7 3 2 3" xfId="11825" xr:uid="{0359597F-B4C9-40BC-B91C-B6DDEBA7A545}"/>
    <cellStyle name="Comma 4 7 3 3" xfId="5459" xr:uid="{00000000-0005-0000-0000-0000720A0000}"/>
    <cellStyle name="Comma 4 7 3 3 2" xfId="13898" xr:uid="{3A55FDDD-1FE0-4951-BA5D-B741D54D59F3}"/>
    <cellStyle name="Comma 4 7 3 4" xfId="9680" xr:uid="{974E101E-AE43-4DD7-8C2B-B0F35DAB7B5D}"/>
    <cellStyle name="Comma 4 7 4" xfId="1564" xr:uid="{00000000-0005-0000-0000-0000730A0000}"/>
    <cellStyle name="Comma 4 7 4 2" xfId="3794" xr:uid="{00000000-0005-0000-0000-0000740A0000}"/>
    <cellStyle name="Comma 4 7 4 2 2" xfId="8017" xr:uid="{00000000-0005-0000-0000-0000750A0000}"/>
    <cellStyle name="Comma 4 7 4 2 2 2" xfId="16456" xr:uid="{C00A15D2-B7F8-4181-9794-268E68064EF3}"/>
    <cellStyle name="Comma 4 7 4 2 3" xfId="12238" xr:uid="{CF936328-513D-46A0-9407-C6BF7417811C}"/>
    <cellStyle name="Comma 4 7 4 3" xfId="5872" xr:uid="{00000000-0005-0000-0000-0000760A0000}"/>
    <cellStyle name="Comma 4 7 4 3 2" xfId="14311" xr:uid="{AABA7693-FD51-4E9E-9D86-03008D9C8A14}"/>
    <cellStyle name="Comma 4 7 4 4" xfId="10093" xr:uid="{42FEDCEA-2FA4-46E0-B6A4-D07C3C3BDA11}"/>
    <cellStyle name="Comma 4 7 5" xfId="1978" xr:uid="{00000000-0005-0000-0000-0000770A0000}"/>
    <cellStyle name="Comma 4 7 5 2" xfId="4207" xr:uid="{00000000-0005-0000-0000-0000780A0000}"/>
    <cellStyle name="Comma 4 7 5 2 2" xfId="8430" xr:uid="{00000000-0005-0000-0000-0000790A0000}"/>
    <cellStyle name="Comma 4 7 5 2 2 2" xfId="16869" xr:uid="{F8E6468F-7A97-439B-9C5C-ADBE92562E44}"/>
    <cellStyle name="Comma 4 7 5 2 3" xfId="12651" xr:uid="{712A268A-90DD-4B29-BF80-0EC76F33EF66}"/>
    <cellStyle name="Comma 4 7 5 3" xfId="6285" xr:uid="{00000000-0005-0000-0000-00007A0A0000}"/>
    <cellStyle name="Comma 4 7 5 3 2" xfId="14724" xr:uid="{66665470-7053-4553-8338-BEBF4B59FC61}"/>
    <cellStyle name="Comma 4 7 5 4" xfId="10506" xr:uid="{AE545078-3B29-44E8-B052-822FDE503429}"/>
    <cellStyle name="Comma 4 7 6" xfId="2413" xr:uid="{00000000-0005-0000-0000-00007B0A0000}"/>
    <cellStyle name="Comma 4 7 6 2" xfId="6698" xr:uid="{00000000-0005-0000-0000-00007C0A0000}"/>
    <cellStyle name="Comma 4 7 6 2 2" xfId="15137" xr:uid="{D5A56EE0-CA02-4524-89C6-51FE8258C539}"/>
    <cellStyle name="Comma 4 7 6 3" xfId="10919" xr:uid="{6D6CBDBC-DDFE-4DFE-A4E9-49FC0C29385E}"/>
    <cellStyle name="Comma 4 7 7" xfId="2709" xr:uid="{00000000-0005-0000-0000-00007D0A0000}"/>
    <cellStyle name="Comma 4 7 8" xfId="2791" xr:uid="{00000000-0005-0000-0000-00007E0A0000}"/>
    <cellStyle name="Comma 4 7 8 2" xfId="7015" xr:uid="{00000000-0005-0000-0000-00007F0A0000}"/>
    <cellStyle name="Comma 4 7 8 2 2" xfId="15454" xr:uid="{2E657C91-1D31-4CE3-96ED-A1610FBFB398}"/>
    <cellStyle name="Comma 4 7 8 3" xfId="11236" xr:uid="{7BCCCA1C-BD51-4283-ADAD-C492814025FB}"/>
    <cellStyle name="Comma 4 7 9" xfId="4632" xr:uid="{00000000-0005-0000-0000-0000800A0000}"/>
    <cellStyle name="Comma 4 7 9 2" xfId="13071" xr:uid="{F14D3B5A-784E-425D-A1CF-CBF646740A77}"/>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D0130620-A14D-4A75-8257-F9A314387DFE}"/>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4BF8CCAF-0C8E-400F-8F6F-7AC0F02FB131}"/>
    <cellStyle name="Currency 14 3" xfId="8720" xr:uid="{729B09A7-2394-4D7C-912C-1471FB3455A3}"/>
    <cellStyle name="Currency 14 3 2" xfId="8724" xr:uid="{1945FB0F-31EC-4D98-B64C-BAFBADA341A1}"/>
    <cellStyle name="Currency 14 3 2 2" xfId="17162" xr:uid="{0AED8AA9-F794-407F-A68C-0CA4125BC282}"/>
    <cellStyle name="Currency 14 3 3" xfId="17159" xr:uid="{119E1053-4F81-4AF8-A21E-FB643AE983F4}"/>
    <cellStyle name="Currency 14 4" xfId="12942" xr:uid="{9C5F0FBA-8024-4EA6-8450-6AD82E5E2FE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04EF69DA-A46D-4BEC-8556-667C9A8811C0}"/>
    <cellStyle name="Currency 3 2 2 10 3" xfId="11237" xr:uid="{41AC549F-7543-4E9F-8074-3C126931B62D}"/>
    <cellStyle name="Currency 3 2 2 11" xfId="4633" xr:uid="{00000000-0005-0000-0000-0000A50A0000}"/>
    <cellStyle name="Currency 3 2 2 11 2" xfId="13072" xr:uid="{C4DDB33D-50D5-4A74-A32A-78C8666C76A1}"/>
    <cellStyle name="Currency 3 2 2 12" xfId="8854" xr:uid="{66F8AA07-002C-4033-BEFE-697BC5B4E4F4}"/>
    <cellStyle name="Currency 3 2 2 2" xfId="179" xr:uid="{00000000-0005-0000-0000-0000A60A0000}"/>
    <cellStyle name="Currency 3 2 2 2 10" xfId="4634" xr:uid="{00000000-0005-0000-0000-0000A70A0000}"/>
    <cellStyle name="Currency 3 2 2 2 10 2" xfId="13073" xr:uid="{12BAFA59-7436-40AB-8E51-9D2F1AB46EFB}"/>
    <cellStyle name="Currency 3 2 2 2 11" xfId="8855" xr:uid="{5A498AFC-CE87-46E2-BED8-34FC9F6471A4}"/>
    <cellStyle name="Currency 3 2 2 2 2" xfId="180" xr:uid="{00000000-0005-0000-0000-0000A80A0000}"/>
    <cellStyle name="Currency 3 2 2 2 2 10" xfId="8856" xr:uid="{D7A364B4-53DA-49E1-8962-13FCF6B3D70F}"/>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F1C8D3AE-DA0C-41F7-9B7C-7C46ECB6C05C}"/>
    <cellStyle name="Currency 3 2 2 2 2 2 2 3" xfId="11415" xr:uid="{52BC34C8-13A2-4D92-B5C4-44202D97649C}"/>
    <cellStyle name="Currency 3 2 2 2 2 2 3" xfId="5049" xr:uid="{00000000-0005-0000-0000-0000AC0A0000}"/>
    <cellStyle name="Currency 3 2 2 2 2 2 3 2" xfId="13488" xr:uid="{FD57F633-C9AA-40E1-BC58-25FC68AA7F3E}"/>
    <cellStyle name="Currency 3 2 2 2 2 2 4" xfId="9270" xr:uid="{0245F066-930B-4803-B500-F1DE649B5F3B}"/>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ED0E59BB-5C64-4602-BD63-55F3E7476607}"/>
    <cellStyle name="Currency 3 2 2 2 2 3 2 3" xfId="11828" xr:uid="{54EEE647-A05B-4EF5-9BDD-84E5A2DE41EE}"/>
    <cellStyle name="Currency 3 2 2 2 2 3 3" xfId="5462" xr:uid="{00000000-0005-0000-0000-0000B00A0000}"/>
    <cellStyle name="Currency 3 2 2 2 2 3 3 2" xfId="13901" xr:uid="{B5766A9D-41CC-4D05-AB56-6392858BC05B}"/>
    <cellStyle name="Currency 3 2 2 2 2 3 4" xfId="9683" xr:uid="{3565F676-8003-4765-A38A-D9C6E42459E3}"/>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1E882D9E-39E0-4BB9-AEC3-4E6FE93DD663}"/>
    <cellStyle name="Currency 3 2 2 2 2 4 2 3" xfId="12241" xr:uid="{CD8AE28C-8463-41DF-88F6-EA118EDFB234}"/>
    <cellStyle name="Currency 3 2 2 2 2 4 3" xfId="5875" xr:uid="{00000000-0005-0000-0000-0000B40A0000}"/>
    <cellStyle name="Currency 3 2 2 2 2 4 3 2" xfId="14314" xr:uid="{E75E4520-3692-4032-ABB9-6359F70165C6}"/>
    <cellStyle name="Currency 3 2 2 2 2 4 4" xfId="10096" xr:uid="{23F48559-DEC8-4955-A74B-9CD4E73387DA}"/>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E9D4F918-3139-410C-9A0E-DDB9D890BA0C}"/>
    <cellStyle name="Currency 3 2 2 2 2 5 2 3" xfId="12654" xr:uid="{37245980-5812-441D-AC8D-401D7F6A862F}"/>
    <cellStyle name="Currency 3 2 2 2 2 5 3" xfId="6288" xr:uid="{00000000-0005-0000-0000-0000B80A0000}"/>
    <cellStyle name="Currency 3 2 2 2 2 5 3 2" xfId="14727" xr:uid="{D8961985-9CA5-4679-9886-22CE398AC5DB}"/>
    <cellStyle name="Currency 3 2 2 2 2 5 4" xfId="10509" xr:uid="{DCB5C78F-4F32-49F5-B748-2888B4D61736}"/>
    <cellStyle name="Currency 3 2 2 2 2 6" xfId="2416" xr:uid="{00000000-0005-0000-0000-0000B90A0000}"/>
    <cellStyle name="Currency 3 2 2 2 2 6 2" xfId="6701" xr:uid="{00000000-0005-0000-0000-0000BA0A0000}"/>
    <cellStyle name="Currency 3 2 2 2 2 6 2 2" xfId="15140" xr:uid="{D8094C1B-3096-425E-8027-A1EE7A8BF187}"/>
    <cellStyle name="Currency 3 2 2 2 2 6 3" xfId="10922" xr:uid="{173EB9FE-5192-450B-9E33-2BA657E38EB1}"/>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F965DC49-7C93-4A3A-B6E4-3BEABF875EBC}"/>
    <cellStyle name="Currency 3 2 2 2 2 8 3" xfId="11239" xr:uid="{0E55A849-D5CD-4D0D-ABC9-E8FDC4AE5F4C}"/>
    <cellStyle name="Currency 3 2 2 2 2 9" xfId="4635" xr:uid="{00000000-0005-0000-0000-0000BE0A0000}"/>
    <cellStyle name="Currency 3 2 2 2 2 9 2" xfId="13074" xr:uid="{FA08BC3E-BB09-4441-A123-9DA73D448228}"/>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826F2EBC-0264-482C-A102-5C33D7951715}"/>
    <cellStyle name="Currency 3 2 2 2 3 2 3" xfId="11414" xr:uid="{C653FE11-F8C1-4317-9922-C047078D971B}"/>
    <cellStyle name="Currency 3 2 2 2 3 3" xfId="5048" xr:uid="{00000000-0005-0000-0000-0000C20A0000}"/>
    <cellStyle name="Currency 3 2 2 2 3 3 2" xfId="13487" xr:uid="{0ACC0072-2079-4018-8E22-07958C18FD69}"/>
    <cellStyle name="Currency 3 2 2 2 3 4" xfId="9269" xr:uid="{45773BB2-B4D4-4617-9B6E-90097ADB28D5}"/>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741307C8-27BD-4B2D-B78A-8A0898A8F007}"/>
    <cellStyle name="Currency 3 2 2 2 4 2 3" xfId="11827" xr:uid="{3C5EC467-FCDD-44A8-A846-B135CA8998E8}"/>
    <cellStyle name="Currency 3 2 2 2 4 3" xfId="5461" xr:uid="{00000000-0005-0000-0000-0000C60A0000}"/>
    <cellStyle name="Currency 3 2 2 2 4 3 2" xfId="13900" xr:uid="{1EA6B56A-AA89-4C27-B2E6-9EEBD3FF35F8}"/>
    <cellStyle name="Currency 3 2 2 2 4 4" xfId="9682" xr:uid="{710DBD64-ACA0-4782-8E02-97D0470B4B0D}"/>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51A657DA-B259-4894-BD6C-EBB787115B70}"/>
    <cellStyle name="Currency 3 2 2 2 5 2 3" xfId="12240" xr:uid="{8398FF7D-B08C-43BA-AD9E-0FE946506384}"/>
    <cellStyle name="Currency 3 2 2 2 5 3" xfId="5874" xr:uid="{00000000-0005-0000-0000-0000CA0A0000}"/>
    <cellStyle name="Currency 3 2 2 2 5 3 2" xfId="14313" xr:uid="{3C2AC4EF-C705-4941-90CD-E00B4757E759}"/>
    <cellStyle name="Currency 3 2 2 2 5 4" xfId="10095" xr:uid="{CA1EB399-2EF7-4765-B789-DC0A5B07B121}"/>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1646FCDA-CAE2-4E64-A1AF-498376A8EEEF}"/>
    <cellStyle name="Currency 3 2 2 2 6 2 3" xfId="12653" xr:uid="{4A4000CE-F839-4A76-8BCF-BD93263F8D93}"/>
    <cellStyle name="Currency 3 2 2 2 6 3" xfId="6287" xr:uid="{00000000-0005-0000-0000-0000CE0A0000}"/>
    <cellStyle name="Currency 3 2 2 2 6 3 2" xfId="14726" xr:uid="{CA7C153A-274A-498B-962C-8FEAD05977E1}"/>
    <cellStyle name="Currency 3 2 2 2 6 4" xfId="10508" xr:uid="{3EFF5019-81E9-4376-A2CE-7AC1CF90E4C9}"/>
    <cellStyle name="Currency 3 2 2 2 7" xfId="2415" xr:uid="{00000000-0005-0000-0000-0000CF0A0000}"/>
    <cellStyle name="Currency 3 2 2 2 7 2" xfId="6700" xr:uid="{00000000-0005-0000-0000-0000D00A0000}"/>
    <cellStyle name="Currency 3 2 2 2 7 2 2" xfId="15139" xr:uid="{052A087B-851E-4F18-B3C4-84B5439F7D7E}"/>
    <cellStyle name="Currency 3 2 2 2 7 3" xfId="10921" xr:uid="{4FB1EBC8-15C1-454B-A808-43B2D4F3789C}"/>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C7B7A755-A6B1-42F9-9098-0ECB09D38D08}"/>
    <cellStyle name="Currency 3 2 2 2 9 3" xfId="11238" xr:uid="{90BA9DCC-123F-4461-8AA8-169ED125BD2C}"/>
    <cellStyle name="Currency 3 2 2 3" xfId="181" xr:uid="{00000000-0005-0000-0000-0000D40A0000}"/>
    <cellStyle name="Currency 3 2 2 3 10" xfId="8857" xr:uid="{D2C7F95A-7EF6-4AA5-9F72-71C9D0F4D295}"/>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20957BDC-21AC-4E79-AF08-4F0613E45DF0}"/>
    <cellStyle name="Currency 3 2 2 3 2 2 3" xfId="11416" xr:uid="{CB2D1642-4CF2-40E0-A358-DD4106CAC0E0}"/>
    <cellStyle name="Currency 3 2 2 3 2 3" xfId="5050" xr:uid="{00000000-0005-0000-0000-0000D80A0000}"/>
    <cellStyle name="Currency 3 2 2 3 2 3 2" xfId="13489" xr:uid="{0E2B962A-5EF5-4B30-90FF-A0B1C52047EA}"/>
    <cellStyle name="Currency 3 2 2 3 2 4" xfId="9271" xr:uid="{2009DABD-A446-4BC9-A15C-FB665F00907D}"/>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52ED6FE5-9F26-4E4B-8C45-0546186670FB}"/>
    <cellStyle name="Currency 3 2 2 3 3 2 3" xfId="11829" xr:uid="{AAF357CD-ED39-4399-9F9E-9C3218B78031}"/>
    <cellStyle name="Currency 3 2 2 3 3 3" xfId="5463" xr:uid="{00000000-0005-0000-0000-0000DC0A0000}"/>
    <cellStyle name="Currency 3 2 2 3 3 3 2" xfId="13902" xr:uid="{30E9E1DE-BA0B-4F89-832D-5A6585D48E63}"/>
    <cellStyle name="Currency 3 2 2 3 3 4" xfId="9684" xr:uid="{CC90EB5B-7EE8-4E79-9E8A-951D561FAF68}"/>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4D2AD561-C715-45D6-8DF7-18A594D23896}"/>
    <cellStyle name="Currency 3 2 2 3 4 2 3" xfId="12242" xr:uid="{9249268E-3F17-43C7-A60D-C07A5F29D526}"/>
    <cellStyle name="Currency 3 2 2 3 4 3" xfId="5876" xr:uid="{00000000-0005-0000-0000-0000E00A0000}"/>
    <cellStyle name="Currency 3 2 2 3 4 3 2" xfId="14315" xr:uid="{32644AC0-9288-4095-9B2C-5B55B828933B}"/>
    <cellStyle name="Currency 3 2 2 3 4 4" xfId="10097" xr:uid="{08AA2E9C-D855-4176-8612-78B6F7B57AEE}"/>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90451070-FC51-40C1-A4FF-AF7A84A6014C}"/>
    <cellStyle name="Currency 3 2 2 3 5 2 3" xfId="12655" xr:uid="{6C503AF7-5F0B-4D9A-BD6D-326A7BB3D896}"/>
    <cellStyle name="Currency 3 2 2 3 5 3" xfId="6289" xr:uid="{00000000-0005-0000-0000-0000E40A0000}"/>
    <cellStyle name="Currency 3 2 2 3 5 3 2" xfId="14728" xr:uid="{FF054907-5548-4EE2-9AED-D7B89F4623EE}"/>
    <cellStyle name="Currency 3 2 2 3 5 4" xfId="10510" xr:uid="{4524722E-F3F8-482E-864F-3159DFD5A3AF}"/>
    <cellStyle name="Currency 3 2 2 3 6" xfId="2417" xr:uid="{00000000-0005-0000-0000-0000E50A0000}"/>
    <cellStyle name="Currency 3 2 2 3 6 2" xfId="6702" xr:uid="{00000000-0005-0000-0000-0000E60A0000}"/>
    <cellStyle name="Currency 3 2 2 3 6 2 2" xfId="15141" xr:uid="{0E099A46-765B-4ABD-8A14-C539AF865144}"/>
    <cellStyle name="Currency 3 2 2 3 6 3" xfId="10923" xr:uid="{54E62900-77CD-4DAB-910A-1F1A4D3BD1E9}"/>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A9CF28C6-2352-4F40-A2B1-4BE7F60CE82B}"/>
    <cellStyle name="Currency 3 2 2 3 8 3" xfId="11240" xr:uid="{A85DD7B9-2634-449B-8001-96347E5426EF}"/>
    <cellStyle name="Currency 3 2 2 3 9" xfId="4636" xr:uid="{00000000-0005-0000-0000-0000EA0A0000}"/>
    <cellStyle name="Currency 3 2 2 3 9 2" xfId="13075" xr:uid="{EA6F2B82-8840-4319-8576-8252D6585F75}"/>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4BB72E1E-E965-49AA-97FF-48B9DBF7DEC5}"/>
    <cellStyle name="Currency 3 2 2 4 2 3" xfId="11413" xr:uid="{81441726-B328-424C-ADFB-27735F234814}"/>
    <cellStyle name="Currency 3 2 2 4 3" xfId="5047" xr:uid="{00000000-0005-0000-0000-0000EE0A0000}"/>
    <cellStyle name="Currency 3 2 2 4 3 2" xfId="13486" xr:uid="{5E84055B-0FBC-4C2F-9F06-1F6EA8826D32}"/>
    <cellStyle name="Currency 3 2 2 4 4" xfId="9268" xr:uid="{8C3AEEF1-7C8E-461C-9D8D-766B9F4D5BA3}"/>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A3E764A4-333E-4424-8B6B-D4BD353EA84E}"/>
    <cellStyle name="Currency 3 2 2 5 2 3" xfId="11826" xr:uid="{0D1E9831-4A8A-4D57-B2D1-D233CD9849A4}"/>
    <cellStyle name="Currency 3 2 2 5 3" xfId="5460" xr:uid="{00000000-0005-0000-0000-0000F20A0000}"/>
    <cellStyle name="Currency 3 2 2 5 3 2" xfId="13899" xr:uid="{8027C424-DFF6-4335-B9D8-BF7CC5D80ACD}"/>
    <cellStyle name="Currency 3 2 2 5 4" xfId="9681" xr:uid="{13CC464D-1C73-4357-8545-A8DA21787551}"/>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A1ED3852-3478-40E2-AB16-1543EC736BB8}"/>
    <cellStyle name="Currency 3 2 2 6 2 3" xfId="12239" xr:uid="{0471B81E-6952-4B12-B468-436739BF0E12}"/>
    <cellStyle name="Currency 3 2 2 6 3" xfId="5873" xr:uid="{00000000-0005-0000-0000-0000F60A0000}"/>
    <cellStyle name="Currency 3 2 2 6 3 2" xfId="14312" xr:uid="{271043AB-381D-45B5-9A3B-B1CC88906E3D}"/>
    <cellStyle name="Currency 3 2 2 6 4" xfId="10094" xr:uid="{726DE97E-AF01-4E98-90A3-BE30D98D0BD1}"/>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9A062E7A-B9B5-40BA-955C-1258576D8CD0}"/>
    <cellStyle name="Currency 3 2 2 7 2 3" xfId="12652" xr:uid="{94165CE4-F065-4642-878D-1449A0DAA381}"/>
    <cellStyle name="Currency 3 2 2 7 3" xfId="6286" xr:uid="{00000000-0005-0000-0000-0000FA0A0000}"/>
    <cellStyle name="Currency 3 2 2 7 3 2" xfId="14725" xr:uid="{AC060DCA-8502-49E4-A7C3-6248DE32688C}"/>
    <cellStyle name="Currency 3 2 2 7 4" xfId="10507" xr:uid="{01E67C9B-E699-4CB6-BCE8-F27B8CFDDE6A}"/>
    <cellStyle name="Currency 3 2 2 8" xfId="2414" xr:uid="{00000000-0005-0000-0000-0000FB0A0000}"/>
    <cellStyle name="Currency 3 2 2 8 2" xfId="6699" xr:uid="{00000000-0005-0000-0000-0000FC0A0000}"/>
    <cellStyle name="Currency 3 2 2 8 2 2" xfId="15138" xr:uid="{45C9436A-5839-4397-AEBD-FA04F5D9AD08}"/>
    <cellStyle name="Currency 3 2 2 8 3" xfId="10920" xr:uid="{252505EA-882C-4A18-8B2C-43065B644F07}"/>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0546B8AB-D773-424D-B1A5-A08C7A260BD8}"/>
    <cellStyle name="Currency 3 2 3 11" xfId="8858" xr:uid="{FE5E097F-1345-4CBE-BFC6-EF77ED31C90F}"/>
    <cellStyle name="Currency 3 2 3 2" xfId="183" xr:uid="{00000000-0005-0000-0000-0000000B0000}"/>
    <cellStyle name="Currency 3 2 3 2 10" xfId="8859" xr:uid="{4394DE9D-9DCC-4A2F-877E-F3B6C1ECD359}"/>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7709E12D-BDD5-435C-98B5-70866412A832}"/>
    <cellStyle name="Currency 3 2 3 2 2 2 3" xfId="11418" xr:uid="{2179604B-2E78-4FB8-A976-1839D73F4E64}"/>
    <cellStyle name="Currency 3 2 3 2 2 3" xfId="5052" xr:uid="{00000000-0005-0000-0000-0000040B0000}"/>
    <cellStyle name="Currency 3 2 3 2 2 3 2" xfId="13491" xr:uid="{8BACDD47-CEB8-47E5-A03A-60EA4AACAC23}"/>
    <cellStyle name="Currency 3 2 3 2 2 4" xfId="9273" xr:uid="{A58CF9CD-871E-4363-9B01-9D178D4BA634}"/>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6070AB9B-E765-4FB3-A003-E1E07DC951BD}"/>
    <cellStyle name="Currency 3 2 3 2 3 2 3" xfId="11831" xr:uid="{B5B40991-13EB-4C72-B897-0566BF0E9C6F}"/>
    <cellStyle name="Currency 3 2 3 2 3 3" xfId="5465" xr:uid="{00000000-0005-0000-0000-0000080B0000}"/>
    <cellStyle name="Currency 3 2 3 2 3 3 2" xfId="13904" xr:uid="{AD0640C4-0BE5-453A-BFFC-76881281D503}"/>
    <cellStyle name="Currency 3 2 3 2 3 4" xfId="9686" xr:uid="{7506D473-E36A-40C5-9857-794523C33AEC}"/>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7EEC80CE-E4E4-49A5-A227-D3297EB1D93D}"/>
    <cellStyle name="Currency 3 2 3 2 4 2 3" xfId="12244" xr:uid="{A4362013-3C9B-4CE7-BAAE-4F3DC3DBEEDE}"/>
    <cellStyle name="Currency 3 2 3 2 4 3" xfId="5878" xr:uid="{00000000-0005-0000-0000-00000C0B0000}"/>
    <cellStyle name="Currency 3 2 3 2 4 3 2" xfId="14317" xr:uid="{478A769E-E39D-4E1C-8207-1BE6A74441A9}"/>
    <cellStyle name="Currency 3 2 3 2 4 4" xfId="10099" xr:uid="{02E29434-2683-495E-9F13-660496A20E6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40636D0D-B4A5-49A1-8164-472717EC429F}"/>
    <cellStyle name="Currency 3 2 3 2 5 2 3" xfId="12657" xr:uid="{7A2FC090-8140-454E-B8EC-FA2CB90FF591}"/>
    <cellStyle name="Currency 3 2 3 2 5 3" xfId="6291" xr:uid="{00000000-0005-0000-0000-0000100B0000}"/>
    <cellStyle name="Currency 3 2 3 2 5 3 2" xfId="14730" xr:uid="{4987E3C2-34F0-4DE6-A564-E49FF57F16A6}"/>
    <cellStyle name="Currency 3 2 3 2 5 4" xfId="10512" xr:uid="{449C7F30-66D0-4A93-B03D-5D3940EF51C2}"/>
    <cellStyle name="Currency 3 2 3 2 6" xfId="2419" xr:uid="{00000000-0005-0000-0000-0000110B0000}"/>
    <cellStyle name="Currency 3 2 3 2 6 2" xfId="6704" xr:uid="{00000000-0005-0000-0000-0000120B0000}"/>
    <cellStyle name="Currency 3 2 3 2 6 2 2" xfId="15143" xr:uid="{588BA647-D8B1-4F78-A924-CA6BBB73D239}"/>
    <cellStyle name="Currency 3 2 3 2 6 3" xfId="10925" xr:uid="{B574ADB4-AB5E-4A39-8D82-B1AB00648910}"/>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EFFD70E3-99F2-458E-9DC9-5111016B052A}"/>
    <cellStyle name="Currency 3 2 3 2 8 3" xfId="11242" xr:uid="{A4EED302-CDDA-4E11-B11F-FB4EC58AB76C}"/>
    <cellStyle name="Currency 3 2 3 2 9" xfId="4638" xr:uid="{00000000-0005-0000-0000-0000160B0000}"/>
    <cellStyle name="Currency 3 2 3 2 9 2" xfId="13077" xr:uid="{E48CA992-E92D-4FE3-8BFB-EDFBF13ACA41}"/>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BAC72D1C-6635-4528-8986-080331296E36}"/>
    <cellStyle name="Currency 3 2 3 3 2 3" xfId="11417" xr:uid="{E22585D5-DB46-474C-964A-A633BB26A8A2}"/>
    <cellStyle name="Currency 3 2 3 3 3" xfId="5051" xr:uid="{00000000-0005-0000-0000-00001A0B0000}"/>
    <cellStyle name="Currency 3 2 3 3 3 2" xfId="13490" xr:uid="{B8DCA041-DEA3-4C32-AC59-53208D1F69F4}"/>
    <cellStyle name="Currency 3 2 3 3 4" xfId="9272" xr:uid="{954E8067-C97D-40F3-8780-9BE8C2971EDF}"/>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E2A8CF0E-56BF-43C0-A9A6-FEB7A1352601}"/>
    <cellStyle name="Currency 3 2 3 4 2 3" xfId="11830" xr:uid="{C42E999D-51B7-4530-BD8F-9CC6065A11A1}"/>
    <cellStyle name="Currency 3 2 3 4 3" xfId="5464" xr:uid="{00000000-0005-0000-0000-00001E0B0000}"/>
    <cellStyle name="Currency 3 2 3 4 3 2" xfId="13903" xr:uid="{0BFE7E11-7DC0-4593-B706-A95F0810E409}"/>
    <cellStyle name="Currency 3 2 3 4 4" xfId="9685" xr:uid="{6287F514-0969-431F-BD75-C2CE7FE313D9}"/>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C9468A05-DFAC-4DD2-B020-D506A5B4EB27}"/>
    <cellStyle name="Currency 3 2 3 5 2 3" xfId="12243" xr:uid="{808BEE93-B659-4D06-B7A1-DF1BCADFE0A7}"/>
    <cellStyle name="Currency 3 2 3 5 3" xfId="5877" xr:uid="{00000000-0005-0000-0000-0000220B0000}"/>
    <cellStyle name="Currency 3 2 3 5 3 2" xfId="14316" xr:uid="{2092C2B3-EF95-4492-9A19-51E41BA09797}"/>
    <cellStyle name="Currency 3 2 3 5 4" xfId="10098" xr:uid="{D5225B3F-C72E-4C11-8CA1-A925D229FEC3}"/>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72B7D229-5EB2-4670-A752-8BE4E3C610BB}"/>
    <cellStyle name="Currency 3 2 3 6 2 3" xfId="12656" xr:uid="{67ADFC71-87A2-4A44-AD62-BB29FD7A1305}"/>
    <cellStyle name="Currency 3 2 3 6 3" xfId="6290" xr:uid="{00000000-0005-0000-0000-0000260B0000}"/>
    <cellStyle name="Currency 3 2 3 6 3 2" xfId="14729" xr:uid="{CE0AE224-A97D-4A7C-8F54-CEBA3B19ED2F}"/>
    <cellStyle name="Currency 3 2 3 6 4" xfId="10511" xr:uid="{4007076C-E039-4854-927F-A10199E5DCDC}"/>
    <cellStyle name="Currency 3 2 3 7" xfId="2418" xr:uid="{00000000-0005-0000-0000-0000270B0000}"/>
    <cellStyle name="Currency 3 2 3 7 2" xfId="6703" xr:uid="{00000000-0005-0000-0000-0000280B0000}"/>
    <cellStyle name="Currency 3 2 3 7 2 2" xfId="15142" xr:uid="{239A1C88-5846-4AC1-8A44-1399501E1A2A}"/>
    <cellStyle name="Currency 3 2 3 7 3" xfId="10924" xr:uid="{8AD70424-4BCE-4737-A740-3AC26F03D0E5}"/>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4D0FB81B-51CF-492E-96B0-6D3D4AB148A9}"/>
    <cellStyle name="Currency 3 2 3 9 3" xfId="11241" xr:uid="{33120BCD-01A3-4EAA-B47B-2033D1CDC923}"/>
    <cellStyle name="Currency 3 2 4" xfId="184" xr:uid="{00000000-0005-0000-0000-00002C0B0000}"/>
    <cellStyle name="Currency 3 2 4 10" xfId="8860" xr:uid="{A6F537FC-1DEF-48A7-B934-F3C094382815}"/>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63224931-654B-4DBC-836C-7FF185BCFA65}"/>
    <cellStyle name="Currency 3 2 4 2 2 3" xfId="11419" xr:uid="{52997296-FD2C-4CE7-9F60-F6D417F0328B}"/>
    <cellStyle name="Currency 3 2 4 2 3" xfId="5053" xr:uid="{00000000-0005-0000-0000-0000300B0000}"/>
    <cellStyle name="Currency 3 2 4 2 3 2" xfId="13492" xr:uid="{11D8C34D-D9CD-4EDB-BD82-F35F6362B6FC}"/>
    <cellStyle name="Currency 3 2 4 2 4" xfId="9274" xr:uid="{3BDC6335-8101-488B-85F3-2B04EF60333B}"/>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ED718796-D886-4657-B713-D499DC2204C1}"/>
    <cellStyle name="Currency 3 2 4 3 2 3" xfId="11832" xr:uid="{A105F761-E086-4CC7-B702-1976E88AAAF7}"/>
    <cellStyle name="Currency 3 2 4 3 3" xfId="5466" xr:uid="{00000000-0005-0000-0000-0000340B0000}"/>
    <cellStyle name="Currency 3 2 4 3 3 2" xfId="13905" xr:uid="{B70809BD-FE79-467B-8F1F-07AC27113161}"/>
    <cellStyle name="Currency 3 2 4 3 4" xfId="9687" xr:uid="{AD06B704-8988-496C-9007-A13CC6F5AD82}"/>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95536191-6C73-4EE7-B025-C74090E8A531}"/>
    <cellStyle name="Currency 3 2 4 4 2 3" xfId="12245" xr:uid="{DA86153B-6C95-4E64-8CF0-8D7309292293}"/>
    <cellStyle name="Currency 3 2 4 4 3" xfId="5879" xr:uid="{00000000-0005-0000-0000-0000380B0000}"/>
    <cellStyle name="Currency 3 2 4 4 3 2" xfId="14318" xr:uid="{FD0D1F9F-749E-4DFD-A22A-BECFD245188A}"/>
    <cellStyle name="Currency 3 2 4 4 4" xfId="10100" xr:uid="{D41EA8EB-F90B-46D7-A709-8C5E8E805388}"/>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23467CC8-6103-4A50-8E22-E4D096BEBEE3}"/>
    <cellStyle name="Currency 3 2 4 5 2 3" xfId="12658" xr:uid="{BFBF2432-6D74-422B-AD89-16FD0F2B730E}"/>
    <cellStyle name="Currency 3 2 4 5 3" xfId="6292" xr:uid="{00000000-0005-0000-0000-00003C0B0000}"/>
    <cellStyle name="Currency 3 2 4 5 3 2" xfId="14731" xr:uid="{1E5EF164-1784-440C-B24F-4074D236F5D3}"/>
    <cellStyle name="Currency 3 2 4 5 4" xfId="10513" xr:uid="{0EDB93F9-841B-44B4-AE48-159B6158AB42}"/>
    <cellStyle name="Currency 3 2 4 6" xfId="2420" xr:uid="{00000000-0005-0000-0000-00003D0B0000}"/>
    <cellStyle name="Currency 3 2 4 6 2" xfId="6705" xr:uid="{00000000-0005-0000-0000-00003E0B0000}"/>
    <cellStyle name="Currency 3 2 4 6 2 2" xfId="15144" xr:uid="{7D52AB1A-CFFD-4781-BC9B-C3C7F2457FE4}"/>
    <cellStyle name="Currency 3 2 4 6 3" xfId="10926" xr:uid="{74734C2B-AB01-43ED-96E4-9C247241CBD0}"/>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2FCBB77F-18DE-4830-AD2C-D538A26E98A1}"/>
    <cellStyle name="Currency 3 2 4 8 3" xfId="11243" xr:uid="{69518F73-7C5D-439C-A527-B7F64C2435AD}"/>
    <cellStyle name="Currency 3 2 4 9" xfId="4639" xr:uid="{00000000-0005-0000-0000-0000420B0000}"/>
    <cellStyle name="Currency 3 2 4 9 2" xfId="13078" xr:uid="{8787B9DD-7826-4844-AB79-A5A95C29A31D}"/>
    <cellStyle name="Currency 3 2 5" xfId="185" xr:uid="{00000000-0005-0000-0000-0000430B0000}"/>
    <cellStyle name="Currency 3 2 5 10" xfId="8861" xr:uid="{0D56FA86-577D-4E16-B4E5-09E71EC47A38}"/>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BA775B90-26AF-4AEC-9232-7139E42F9B2D}"/>
    <cellStyle name="Currency 3 2 5 2 2 3" xfId="11420" xr:uid="{E9FBEA4E-386C-4820-A031-6C6CAA642E5A}"/>
    <cellStyle name="Currency 3 2 5 2 3" xfId="5054" xr:uid="{00000000-0005-0000-0000-0000470B0000}"/>
    <cellStyle name="Currency 3 2 5 2 3 2" xfId="13493" xr:uid="{5E1DEA3B-DB1A-428C-9E3F-4C49C5B5D975}"/>
    <cellStyle name="Currency 3 2 5 2 4" xfId="9275" xr:uid="{290EB233-01D3-4F6C-949D-EF27DD00DA81}"/>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793AF7A6-4189-4AD7-93AE-721BFD3A1A99}"/>
    <cellStyle name="Currency 3 2 5 3 2 3" xfId="11833" xr:uid="{E83C4766-C6F3-4E9E-A78D-58D486087E66}"/>
    <cellStyle name="Currency 3 2 5 3 3" xfId="5467" xr:uid="{00000000-0005-0000-0000-00004B0B0000}"/>
    <cellStyle name="Currency 3 2 5 3 3 2" xfId="13906" xr:uid="{C8624A13-D061-479E-ACE7-8873274AE382}"/>
    <cellStyle name="Currency 3 2 5 3 4" xfId="9688" xr:uid="{C7A3FD69-5CE3-409B-904B-44D1132B35D6}"/>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95790EC5-FEE9-41C2-8149-871523968282}"/>
    <cellStyle name="Currency 3 2 5 4 2 3" xfId="12246" xr:uid="{F695B4AC-2BDB-4474-915D-3CD41B410274}"/>
    <cellStyle name="Currency 3 2 5 4 3" xfId="5880" xr:uid="{00000000-0005-0000-0000-00004F0B0000}"/>
    <cellStyle name="Currency 3 2 5 4 3 2" xfId="14319" xr:uid="{4093701E-749B-4153-A665-7BA8702BAF28}"/>
    <cellStyle name="Currency 3 2 5 4 4" xfId="10101" xr:uid="{937B8AC3-F769-4340-9435-03350F9459BF}"/>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FE458FB9-B7ED-4972-A0DE-16048BA18DFB}"/>
    <cellStyle name="Currency 3 2 5 5 2 3" xfId="12659" xr:uid="{39CE69AA-786B-4AB7-9932-8D459A636466}"/>
    <cellStyle name="Currency 3 2 5 5 3" xfId="6293" xr:uid="{00000000-0005-0000-0000-0000530B0000}"/>
    <cellStyle name="Currency 3 2 5 5 3 2" xfId="14732" xr:uid="{9C912EFE-977D-477E-B9C2-A96718303747}"/>
    <cellStyle name="Currency 3 2 5 5 4" xfId="10514" xr:uid="{D6D8B7C3-6867-4FCE-9609-48102F32C947}"/>
    <cellStyle name="Currency 3 2 5 6" xfId="2421" xr:uid="{00000000-0005-0000-0000-0000540B0000}"/>
    <cellStyle name="Currency 3 2 5 6 2" xfId="6706" xr:uid="{00000000-0005-0000-0000-0000550B0000}"/>
    <cellStyle name="Currency 3 2 5 6 2 2" xfId="15145" xr:uid="{F356E507-C07F-4ECB-A742-FA86F9957701}"/>
    <cellStyle name="Currency 3 2 5 6 3" xfId="10927" xr:uid="{564E9458-8A8F-4908-BE0A-8DF908ADB3A2}"/>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4EFD2BF7-3733-43E6-AF5D-1ED5B6A07E97}"/>
    <cellStyle name="Currency 3 2 5 8 3" xfId="11244" xr:uid="{0ECAFB55-F273-4E1E-B20E-C114693EE1E6}"/>
    <cellStyle name="Currency 3 2 5 9" xfId="4640" xr:uid="{00000000-0005-0000-0000-0000590B0000}"/>
    <cellStyle name="Currency 3 2 5 9 2" xfId="13079" xr:uid="{33B3FCC2-373B-4C44-87B6-7434E34C690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A67CB921-606B-42E1-8060-42C1C8633DE2}"/>
    <cellStyle name="Currency 5 2 2 2 10 3" xfId="11245" xr:uid="{23E55734-15B4-4F24-A9A7-B8987809711A}"/>
    <cellStyle name="Currency 5 2 2 2 11" xfId="4641" xr:uid="{00000000-0005-0000-0000-00006C0B0000}"/>
    <cellStyle name="Currency 5 2 2 2 11 2" xfId="13080" xr:uid="{7BCB13FD-7D83-456A-85BD-B10DB4CA557E}"/>
    <cellStyle name="Currency 5 2 2 2 12" xfId="8862" xr:uid="{D3F411FF-F539-4C19-B0DD-6E46E6136FCF}"/>
    <cellStyle name="Currency 5 2 2 2 2" xfId="197" xr:uid="{00000000-0005-0000-0000-00006D0B0000}"/>
    <cellStyle name="Currency 5 2 2 2 2 10" xfId="4642" xr:uid="{00000000-0005-0000-0000-00006E0B0000}"/>
    <cellStyle name="Currency 5 2 2 2 2 10 2" xfId="13081" xr:uid="{AAD856A8-A19F-47C8-85EB-AE89ADC17F7B}"/>
    <cellStyle name="Currency 5 2 2 2 2 11" xfId="8863" xr:uid="{32EECFF5-111B-473D-93A9-998AB266C373}"/>
    <cellStyle name="Currency 5 2 2 2 2 2" xfId="198" xr:uid="{00000000-0005-0000-0000-00006F0B0000}"/>
    <cellStyle name="Currency 5 2 2 2 2 2 10" xfId="8864" xr:uid="{83081761-EA78-4849-B4CB-1EA134E7295F}"/>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E8AE6E88-112E-49ED-96E0-C5339540E77D}"/>
    <cellStyle name="Currency 5 2 2 2 2 2 2 2 3" xfId="11423" xr:uid="{49DA0617-07AF-4113-8908-B1FFC96210F1}"/>
    <cellStyle name="Currency 5 2 2 2 2 2 2 3" xfId="5057" xr:uid="{00000000-0005-0000-0000-0000730B0000}"/>
    <cellStyle name="Currency 5 2 2 2 2 2 2 3 2" xfId="13496" xr:uid="{F03A0C2B-F4E7-4C4A-98A4-B2F7E876781B}"/>
    <cellStyle name="Currency 5 2 2 2 2 2 2 4" xfId="9278" xr:uid="{30801FA7-0B28-4B33-8C08-90E8C1A3B2EB}"/>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6530A53E-06B7-4FA8-857C-36EDBA4DB5BE}"/>
    <cellStyle name="Currency 5 2 2 2 2 2 3 2 3" xfId="11836" xr:uid="{2E95C836-1317-4CDE-8BBD-1092CFC265F2}"/>
    <cellStyle name="Currency 5 2 2 2 2 2 3 3" xfId="5470" xr:uid="{00000000-0005-0000-0000-0000770B0000}"/>
    <cellStyle name="Currency 5 2 2 2 2 2 3 3 2" xfId="13909" xr:uid="{050E2292-D565-4D48-B33B-0FEC02E49EFC}"/>
    <cellStyle name="Currency 5 2 2 2 2 2 3 4" xfId="9691" xr:uid="{BB8EF550-183F-4B3B-84AC-755825F1984A}"/>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189EBC4E-181B-4AB6-87C5-E00D813D7FEE}"/>
    <cellStyle name="Currency 5 2 2 2 2 2 4 2 3" xfId="12249" xr:uid="{58954CE3-D5A2-4DA7-8725-34823B16E8DD}"/>
    <cellStyle name="Currency 5 2 2 2 2 2 4 3" xfId="5883" xr:uid="{00000000-0005-0000-0000-00007B0B0000}"/>
    <cellStyle name="Currency 5 2 2 2 2 2 4 3 2" xfId="14322" xr:uid="{F4C31D5C-455A-4E82-9EBB-A63A35411A16}"/>
    <cellStyle name="Currency 5 2 2 2 2 2 4 4" xfId="10104" xr:uid="{A0E74560-6509-4C67-B5DF-6A25912C1FEC}"/>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AB12B860-A676-4302-B531-0DF2A7688B10}"/>
    <cellStyle name="Currency 5 2 2 2 2 2 5 2 3" xfId="12662" xr:uid="{F49165F4-12C1-4F25-93AF-3899F0F74085}"/>
    <cellStyle name="Currency 5 2 2 2 2 2 5 3" xfId="6296" xr:uid="{00000000-0005-0000-0000-00007F0B0000}"/>
    <cellStyle name="Currency 5 2 2 2 2 2 5 3 2" xfId="14735" xr:uid="{FE2182C7-F238-4E4B-BEE3-887782D77FAD}"/>
    <cellStyle name="Currency 5 2 2 2 2 2 5 4" xfId="10517" xr:uid="{503CA678-984A-4363-B057-4574AFA43FBD}"/>
    <cellStyle name="Currency 5 2 2 2 2 2 6" xfId="2424" xr:uid="{00000000-0005-0000-0000-0000800B0000}"/>
    <cellStyle name="Currency 5 2 2 2 2 2 6 2" xfId="6709" xr:uid="{00000000-0005-0000-0000-0000810B0000}"/>
    <cellStyle name="Currency 5 2 2 2 2 2 6 2 2" xfId="15148" xr:uid="{15A124A0-2274-47C5-A31B-742CB1D8A12C}"/>
    <cellStyle name="Currency 5 2 2 2 2 2 6 3" xfId="10930" xr:uid="{2DBBA7FF-0EBB-451E-A579-296322B80567}"/>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D7B285F8-AF80-4ACB-91AF-6C45CC11DAA6}"/>
    <cellStyle name="Currency 5 2 2 2 2 2 8 3" xfId="11247" xr:uid="{D4C1FCF0-BDFA-467E-9034-E9E90FA8C090}"/>
    <cellStyle name="Currency 5 2 2 2 2 2 9" xfId="4643" xr:uid="{00000000-0005-0000-0000-0000850B0000}"/>
    <cellStyle name="Currency 5 2 2 2 2 2 9 2" xfId="13082" xr:uid="{743DED4A-E163-413A-9D32-54C73FB7B6DB}"/>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846C0A10-8445-44EE-928D-4502FB84D0A9}"/>
    <cellStyle name="Currency 5 2 2 2 2 3 2 3" xfId="11422" xr:uid="{31602097-A4AD-4A7D-AA3C-BF6DF9F52327}"/>
    <cellStyle name="Currency 5 2 2 2 2 3 3" xfId="5056" xr:uid="{00000000-0005-0000-0000-0000890B0000}"/>
    <cellStyle name="Currency 5 2 2 2 2 3 3 2" xfId="13495" xr:uid="{52D89B52-12B6-49FB-B71A-EBDAEB2E2F92}"/>
    <cellStyle name="Currency 5 2 2 2 2 3 4" xfId="9277" xr:uid="{1EC58ABC-0727-4BD7-9779-265FAEB7FDA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DBFAA99C-1DAD-4217-9D05-B36E64D67314}"/>
    <cellStyle name="Currency 5 2 2 2 2 4 2 3" xfId="11835" xr:uid="{B1C99045-4E11-46D1-859C-E5212F412F45}"/>
    <cellStyle name="Currency 5 2 2 2 2 4 3" xfId="5469" xr:uid="{00000000-0005-0000-0000-00008D0B0000}"/>
    <cellStyle name="Currency 5 2 2 2 2 4 3 2" xfId="13908" xr:uid="{1A58FD76-485D-4E8C-8255-5CF6197E0A75}"/>
    <cellStyle name="Currency 5 2 2 2 2 4 4" xfId="9690" xr:uid="{CB070D8D-112D-4049-AE41-EF108E6A891A}"/>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B271B355-19A1-4F2B-B7E2-F83C710C02EE}"/>
    <cellStyle name="Currency 5 2 2 2 2 5 2 3" xfId="12248" xr:uid="{3D75BAC4-FD0E-4181-BB26-DE115DCA5A33}"/>
    <cellStyle name="Currency 5 2 2 2 2 5 3" xfId="5882" xr:uid="{00000000-0005-0000-0000-0000910B0000}"/>
    <cellStyle name="Currency 5 2 2 2 2 5 3 2" xfId="14321" xr:uid="{04A2A6DD-3D12-4B71-B126-3E18D7FF9E73}"/>
    <cellStyle name="Currency 5 2 2 2 2 5 4" xfId="10103" xr:uid="{85CC800B-35EE-4C4D-B08B-526BFE7BA935}"/>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73EE640F-AE52-499A-83DF-3DAC6AD41AAC}"/>
    <cellStyle name="Currency 5 2 2 2 2 6 2 3" xfId="12661" xr:uid="{7A460805-52B2-4BD4-8D70-F47AC92D99C2}"/>
    <cellStyle name="Currency 5 2 2 2 2 6 3" xfId="6295" xr:uid="{00000000-0005-0000-0000-0000950B0000}"/>
    <cellStyle name="Currency 5 2 2 2 2 6 3 2" xfId="14734" xr:uid="{8BD8C881-BCB1-41DA-95EC-EE07F14C4833}"/>
    <cellStyle name="Currency 5 2 2 2 2 6 4" xfId="10516" xr:uid="{36692C7D-E0BA-4390-A0FE-9C68C1389C17}"/>
    <cellStyle name="Currency 5 2 2 2 2 7" xfId="2423" xr:uid="{00000000-0005-0000-0000-0000960B0000}"/>
    <cellStyle name="Currency 5 2 2 2 2 7 2" xfId="6708" xr:uid="{00000000-0005-0000-0000-0000970B0000}"/>
    <cellStyle name="Currency 5 2 2 2 2 7 2 2" xfId="15147" xr:uid="{7BCCF05A-02E0-46BC-BA73-D9FB16D49430}"/>
    <cellStyle name="Currency 5 2 2 2 2 7 3" xfId="10929" xr:uid="{5AABC3D3-8EF0-40C4-A6AA-13D41555349F}"/>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AFF9162B-234A-495B-88D8-D1852FB2EB21}"/>
    <cellStyle name="Currency 5 2 2 2 2 9 3" xfId="11246" xr:uid="{3F73BC52-DF75-467E-9158-C70BC35A138E}"/>
    <cellStyle name="Currency 5 2 2 2 3" xfId="199" xr:uid="{00000000-0005-0000-0000-00009B0B0000}"/>
    <cellStyle name="Currency 5 2 2 2 3 10" xfId="8865" xr:uid="{193C6158-6F0A-4E08-B9D2-48E53D556F44}"/>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6EFBDC13-F69C-43DF-AB13-73EB991FCA6D}"/>
    <cellStyle name="Currency 5 2 2 2 3 2 2 3" xfId="11424" xr:uid="{E85803C1-AE4E-475C-BE3A-A60ECB05E3C9}"/>
    <cellStyle name="Currency 5 2 2 2 3 2 3" xfId="5058" xr:uid="{00000000-0005-0000-0000-00009F0B0000}"/>
    <cellStyle name="Currency 5 2 2 2 3 2 3 2" xfId="13497" xr:uid="{6D0BAB92-703F-4E88-88FF-6F49811F56A5}"/>
    <cellStyle name="Currency 5 2 2 2 3 2 4" xfId="9279" xr:uid="{FABF694A-353F-4A90-9824-7C83244DD902}"/>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E809633C-5D67-4096-A6AB-8CF1D0CBEBAC}"/>
    <cellStyle name="Currency 5 2 2 2 3 3 2 3" xfId="11837" xr:uid="{F7B9F643-688D-44ED-9600-AD0CA8641FFC}"/>
    <cellStyle name="Currency 5 2 2 2 3 3 3" xfId="5471" xr:uid="{00000000-0005-0000-0000-0000A30B0000}"/>
    <cellStyle name="Currency 5 2 2 2 3 3 3 2" xfId="13910" xr:uid="{96B29608-5D7A-4BF4-B14C-668F83AB110A}"/>
    <cellStyle name="Currency 5 2 2 2 3 3 4" xfId="9692" xr:uid="{0923EFE9-4707-40FC-B53D-4C9F47B98CB3}"/>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6A2C5068-0B5F-48C6-AA72-85B6BD6E80AF}"/>
    <cellStyle name="Currency 5 2 2 2 3 4 2 3" xfId="12250" xr:uid="{23AB9E67-E580-4F7B-B830-3CE0377A574B}"/>
    <cellStyle name="Currency 5 2 2 2 3 4 3" xfId="5884" xr:uid="{00000000-0005-0000-0000-0000A70B0000}"/>
    <cellStyle name="Currency 5 2 2 2 3 4 3 2" xfId="14323" xr:uid="{5F132B90-0BA7-4F33-9A1B-336022A0E525}"/>
    <cellStyle name="Currency 5 2 2 2 3 4 4" xfId="10105" xr:uid="{B648DCBD-A9FC-4685-9EA1-C62E25CA48F2}"/>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355FEE5D-B10A-4D68-BE4F-09D38E452F81}"/>
    <cellStyle name="Currency 5 2 2 2 3 5 2 3" xfId="12663" xr:uid="{48585A9D-1F20-4B69-8E44-CBD053078404}"/>
    <cellStyle name="Currency 5 2 2 2 3 5 3" xfId="6297" xr:uid="{00000000-0005-0000-0000-0000AB0B0000}"/>
    <cellStyle name="Currency 5 2 2 2 3 5 3 2" xfId="14736" xr:uid="{6B525B2F-11F6-4D35-BC6F-D93E3E79DD01}"/>
    <cellStyle name="Currency 5 2 2 2 3 5 4" xfId="10518" xr:uid="{7F742286-E6F3-49B8-A296-81B53787CD50}"/>
    <cellStyle name="Currency 5 2 2 2 3 6" xfId="2425" xr:uid="{00000000-0005-0000-0000-0000AC0B0000}"/>
    <cellStyle name="Currency 5 2 2 2 3 6 2" xfId="6710" xr:uid="{00000000-0005-0000-0000-0000AD0B0000}"/>
    <cellStyle name="Currency 5 2 2 2 3 6 2 2" xfId="15149" xr:uid="{A8E2873D-F0C6-4FF8-9E35-6AA53E570D7A}"/>
    <cellStyle name="Currency 5 2 2 2 3 6 3" xfId="10931" xr:uid="{8147296D-8F62-47A4-A1F1-BF7F988B1759}"/>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760DB7D8-A3FF-4CE2-8549-4173837CEBF6}"/>
    <cellStyle name="Currency 5 2 2 2 3 8 3" xfId="11248" xr:uid="{9BB1DD4B-2B06-47CD-AABB-8C812A53A758}"/>
    <cellStyle name="Currency 5 2 2 2 3 9" xfId="4644" xr:uid="{00000000-0005-0000-0000-0000B10B0000}"/>
    <cellStyle name="Currency 5 2 2 2 3 9 2" xfId="13083" xr:uid="{9355ADD6-6A55-484C-B35D-9E9A63AD2471}"/>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E98EDB09-80FE-42B5-9A5E-063ED57F93A7}"/>
    <cellStyle name="Currency 5 2 2 2 4 2 3" xfId="11421" xr:uid="{33FEC565-2827-4307-91B2-BDDC0AF2E3D7}"/>
    <cellStyle name="Currency 5 2 2 2 4 3" xfId="5055" xr:uid="{00000000-0005-0000-0000-0000B50B0000}"/>
    <cellStyle name="Currency 5 2 2 2 4 3 2" xfId="13494" xr:uid="{FED43ECA-7C95-4AED-A725-FAA5B466542C}"/>
    <cellStyle name="Currency 5 2 2 2 4 4" xfId="9276" xr:uid="{8D6DBF7C-D063-44A6-80F1-5A5228E42EA1}"/>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7B768A97-AE7A-4659-8915-365840EF4C78}"/>
    <cellStyle name="Currency 5 2 2 2 5 2 3" xfId="11834" xr:uid="{59E4EB94-62BF-438F-AC22-25F5969F87F5}"/>
    <cellStyle name="Currency 5 2 2 2 5 3" xfId="5468" xr:uid="{00000000-0005-0000-0000-0000B90B0000}"/>
    <cellStyle name="Currency 5 2 2 2 5 3 2" xfId="13907" xr:uid="{DE10AB98-8CF1-4779-BA78-4A9B9185D619}"/>
    <cellStyle name="Currency 5 2 2 2 5 4" xfId="9689" xr:uid="{60BA9B04-3BCD-4860-B76A-FE4941C9832F}"/>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9D998E69-2BDE-4657-851A-94668A5ACA49}"/>
    <cellStyle name="Currency 5 2 2 2 6 2 3" xfId="12247" xr:uid="{6253EFBD-CE9B-48EA-B324-E1E723FAFE42}"/>
    <cellStyle name="Currency 5 2 2 2 6 3" xfId="5881" xr:uid="{00000000-0005-0000-0000-0000BD0B0000}"/>
    <cellStyle name="Currency 5 2 2 2 6 3 2" xfId="14320" xr:uid="{DB55D3D7-AE07-450D-A707-07E091F11FD8}"/>
    <cellStyle name="Currency 5 2 2 2 6 4" xfId="10102" xr:uid="{633AA126-AB61-41F6-B99B-0377737534BF}"/>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81B82EAC-A107-483B-932F-07AD7989D467}"/>
    <cellStyle name="Currency 5 2 2 2 7 2 3" xfId="12660" xr:uid="{C33FF5F4-8348-43AF-B8FD-C19CBE3CE1E1}"/>
    <cellStyle name="Currency 5 2 2 2 7 3" xfId="6294" xr:uid="{00000000-0005-0000-0000-0000C10B0000}"/>
    <cellStyle name="Currency 5 2 2 2 7 3 2" xfId="14733" xr:uid="{E14E4AF5-44BE-4A57-AB9A-0DCDACB30883}"/>
    <cellStyle name="Currency 5 2 2 2 7 4" xfId="10515" xr:uid="{D6EDECFD-168C-440E-81CB-178CBA930F9D}"/>
    <cellStyle name="Currency 5 2 2 2 8" xfId="2422" xr:uid="{00000000-0005-0000-0000-0000C20B0000}"/>
    <cellStyle name="Currency 5 2 2 2 8 2" xfId="6707" xr:uid="{00000000-0005-0000-0000-0000C30B0000}"/>
    <cellStyle name="Currency 5 2 2 2 8 2 2" xfId="15146" xr:uid="{D4A7742F-1AB5-4ABE-86F4-4DFE68FCAF7E}"/>
    <cellStyle name="Currency 5 2 2 2 8 3" xfId="10928" xr:uid="{CAB5AF8A-F777-46FE-8510-A2CC50CBFD20}"/>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5298015B-0BA9-4D56-B9F1-E336E8EAB806}"/>
    <cellStyle name="Currency 5 2 2 3 11" xfId="8866" xr:uid="{2B32C4D7-1DB4-4246-B874-798AD0732F19}"/>
    <cellStyle name="Currency 5 2 2 3 2" xfId="201" xr:uid="{00000000-0005-0000-0000-0000C70B0000}"/>
    <cellStyle name="Currency 5 2 2 3 2 10" xfId="8867" xr:uid="{DCF72796-F164-49B2-BDFB-AF0DFFB417E3}"/>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394947F5-B7C3-4EB8-89F6-43A0BA9DF350}"/>
    <cellStyle name="Currency 5 2 2 3 2 2 2 3" xfId="11426" xr:uid="{95385498-6187-4C03-849D-B98AAC5BF3DC}"/>
    <cellStyle name="Currency 5 2 2 3 2 2 3" xfId="5060" xr:uid="{00000000-0005-0000-0000-0000CB0B0000}"/>
    <cellStyle name="Currency 5 2 2 3 2 2 3 2" xfId="13499" xr:uid="{004F7A1A-5184-47B9-B845-DC74422D4070}"/>
    <cellStyle name="Currency 5 2 2 3 2 2 4" xfId="9281" xr:uid="{3E2F159B-2719-4DA1-A653-C09DA6764D57}"/>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44438357-7856-48FB-8C1F-52DF004AB418}"/>
    <cellStyle name="Currency 5 2 2 3 2 3 2 3" xfId="11839" xr:uid="{A5BA7D23-FB8F-4739-9A7A-A006348F6F51}"/>
    <cellStyle name="Currency 5 2 2 3 2 3 3" xfId="5473" xr:uid="{00000000-0005-0000-0000-0000CF0B0000}"/>
    <cellStyle name="Currency 5 2 2 3 2 3 3 2" xfId="13912" xr:uid="{903E1083-926D-4425-899C-C9D426430D6F}"/>
    <cellStyle name="Currency 5 2 2 3 2 3 4" xfId="9694" xr:uid="{CA456C4D-64B3-42BF-9E97-1571DB2A917B}"/>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7B483E0C-B88D-4E24-B9D0-3F7EFD2560B6}"/>
    <cellStyle name="Currency 5 2 2 3 2 4 2 3" xfId="12252" xr:uid="{B96F3A85-EDE8-463C-BC3E-A1734BD1F5A1}"/>
    <cellStyle name="Currency 5 2 2 3 2 4 3" xfId="5886" xr:uid="{00000000-0005-0000-0000-0000D30B0000}"/>
    <cellStyle name="Currency 5 2 2 3 2 4 3 2" xfId="14325" xr:uid="{FEEB50BB-CDFC-44F2-BC86-2CE40EA4903C}"/>
    <cellStyle name="Currency 5 2 2 3 2 4 4" xfId="10107" xr:uid="{0879EBE7-C9A4-45CD-BE09-F4C4546BBF43}"/>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1CA390DB-2FB3-4FCC-A276-61B9C3BFE90D}"/>
    <cellStyle name="Currency 5 2 2 3 2 5 2 3" xfId="12665" xr:uid="{9A7E147E-4E54-44A5-9BB5-61D6CBFD4E79}"/>
    <cellStyle name="Currency 5 2 2 3 2 5 3" xfId="6299" xr:uid="{00000000-0005-0000-0000-0000D70B0000}"/>
    <cellStyle name="Currency 5 2 2 3 2 5 3 2" xfId="14738" xr:uid="{4CEF1700-F7BD-43C5-82A2-F7D92C8AF7E4}"/>
    <cellStyle name="Currency 5 2 2 3 2 5 4" xfId="10520" xr:uid="{BA022FAB-3BA2-4340-AE54-CE239A2A85B4}"/>
    <cellStyle name="Currency 5 2 2 3 2 6" xfId="2427" xr:uid="{00000000-0005-0000-0000-0000D80B0000}"/>
    <cellStyle name="Currency 5 2 2 3 2 6 2" xfId="6712" xr:uid="{00000000-0005-0000-0000-0000D90B0000}"/>
    <cellStyle name="Currency 5 2 2 3 2 6 2 2" xfId="15151" xr:uid="{95BAB3DA-BE95-47C2-8F0A-9C42687F9676}"/>
    <cellStyle name="Currency 5 2 2 3 2 6 3" xfId="10933" xr:uid="{426F57C2-05E7-4670-9E9D-51747CEDBE1C}"/>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49FF1E33-4EF0-41F6-8830-FA9CB1F62630}"/>
    <cellStyle name="Currency 5 2 2 3 2 8 3" xfId="11250" xr:uid="{04C3CC4F-3A22-461C-A3F2-B37EDE580F0C}"/>
    <cellStyle name="Currency 5 2 2 3 2 9" xfId="4646" xr:uid="{00000000-0005-0000-0000-0000DD0B0000}"/>
    <cellStyle name="Currency 5 2 2 3 2 9 2" xfId="13085" xr:uid="{89C14F7E-79BF-4883-AB6F-7E84D6318045}"/>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E577973F-04ED-4E43-A2F8-F741A7867E7E}"/>
    <cellStyle name="Currency 5 2 2 3 3 2 3" xfId="11425" xr:uid="{3453BF64-C3B8-4B32-84D3-52BD93632FD8}"/>
    <cellStyle name="Currency 5 2 2 3 3 3" xfId="5059" xr:uid="{00000000-0005-0000-0000-0000E10B0000}"/>
    <cellStyle name="Currency 5 2 2 3 3 3 2" xfId="13498" xr:uid="{4F22D4AA-AFE9-4E9A-B5B2-DF243FFE4075}"/>
    <cellStyle name="Currency 5 2 2 3 3 4" xfId="9280" xr:uid="{CA880749-A9F0-4249-8704-95A36690808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D1E3AA05-84CF-4BEE-B7E3-320485E9B487}"/>
    <cellStyle name="Currency 5 2 2 3 4 2 3" xfId="11838" xr:uid="{D72BDA0C-9CA3-4D60-AB6E-C1E261AEE8F0}"/>
    <cellStyle name="Currency 5 2 2 3 4 3" xfId="5472" xr:uid="{00000000-0005-0000-0000-0000E50B0000}"/>
    <cellStyle name="Currency 5 2 2 3 4 3 2" xfId="13911" xr:uid="{2B1C32D7-23E7-451F-BA23-066420287B8E}"/>
    <cellStyle name="Currency 5 2 2 3 4 4" xfId="9693" xr:uid="{C559956D-289F-4C19-8E15-EC9A118F2C9A}"/>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D20947D5-532D-4CB1-8163-3B91EB5B9CA4}"/>
    <cellStyle name="Currency 5 2 2 3 5 2 3" xfId="12251" xr:uid="{2253AD40-A0EF-4E76-8658-40A18631D11E}"/>
    <cellStyle name="Currency 5 2 2 3 5 3" xfId="5885" xr:uid="{00000000-0005-0000-0000-0000E90B0000}"/>
    <cellStyle name="Currency 5 2 2 3 5 3 2" xfId="14324" xr:uid="{73087129-D9D8-42C8-8BBC-B1DD1B23B458}"/>
    <cellStyle name="Currency 5 2 2 3 5 4" xfId="10106" xr:uid="{F75C03E3-681B-49E0-90D1-44A9D64F5B09}"/>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5B4FC9DE-D2D4-4EE8-8C4C-2725D3F65A99}"/>
    <cellStyle name="Currency 5 2 2 3 6 2 3" xfId="12664" xr:uid="{E23D2CEB-E6CC-4056-A048-597B555B0F8F}"/>
    <cellStyle name="Currency 5 2 2 3 6 3" xfId="6298" xr:uid="{00000000-0005-0000-0000-0000ED0B0000}"/>
    <cellStyle name="Currency 5 2 2 3 6 3 2" xfId="14737" xr:uid="{FB08455C-B632-454C-8164-0009DFB6DBA4}"/>
    <cellStyle name="Currency 5 2 2 3 6 4" xfId="10519" xr:uid="{B70B338A-9F67-4030-AD75-66BB24D35087}"/>
    <cellStyle name="Currency 5 2 2 3 7" xfId="2426" xr:uid="{00000000-0005-0000-0000-0000EE0B0000}"/>
    <cellStyle name="Currency 5 2 2 3 7 2" xfId="6711" xr:uid="{00000000-0005-0000-0000-0000EF0B0000}"/>
    <cellStyle name="Currency 5 2 2 3 7 2 2" xfId="15150" xr:uid="{5AE55F84-E5FF-4CF0-BFF7-F896E71CCC18}"/>
    <cellStyle name="Currency 5 2 2 3 7 3" xfId="10932" xr:uid="{5AA19C15-49D1-431B-95CA-F3D59F39A12C}"/>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A285BF58-C983-4803-90C5-725AE9A89F68}"/>
    <cellStyle name="Currency 5 2 2 3 9 3" xfId="11249" xr:uid="{10B6AA4C-E572-47A5-99E7-777C66D2DF13}"/>
    <cellStyle name="Currency 5 2 2 4" xfId="202" xr:uid="{00000000-0005-0000-0000-0000F30B0000}"/>
    <cellStyle name="Currency 5 2 2 4 10" xfId="8868" xr:uid="{1F2F3655-7B9E-462A-B6B3-401DF4DEB268}"/>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BFB50ECA-6F01-4382-8E39-44399DA90264}"/>
    <cellStyle name="Currency 5 2 2 4 2 2 3" xfId="11427" xr:uid="{F7519FC0-344F-4401-8633-28E7398DF6EB}"/>
    <cellStyle name="Currency 5 2 2 4 2 3" xfId="5061" xr:uid="{00000000-0005-0000-0000-0000F70B0000}"/>
    <cellStyle name="Currency 5 2 2 4 2 3 2" xfId="13500" xr:uid="{3502DFFE-B6BC-4BCF-9754-BD9711CD96B9}"/>
    <cellStyle name="Currency 5 2 2 4 2 4" xfId="9282" xr:uid="{3C8372DA-E23F-433C-92C3-6E0854B9571F}"/>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7D00F24D-C676-4B53-AE4A-86260719CA08}"/>
    <cellStyle name="Currency 5 2 2 4 3 2 3" xfId="11840" xr:uid="{48D4796C-5BA0-4730-A7F4-4A0CFA236F92}"/>
    <cellStyle name="Currency 5 2 2 4 3 3" xfId="5474" xr:uid="{00000000-0005-0000-0000-0000FB0B0000}"/>
    <cellStyle name="Currency 5 2 2 4 3 3 2" xfId="13913" xr:uid="{258FEEA2-B6EA-486B-93FD-B791EB86D68B}"/>
    <cellStyle name="Currency 5 2 2 4 3 4" xfId="9695" xr:uid="{467C98BB-9749-4183-AD60-0AD6BE17F737}"/>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EC8C4C92-991C-48A3-86AE-AFB836E6B532}"/>
    <cellStyle name="Currency 5 2 2 4 4 2 3" xfId="12253" xr:uid="{184E869E-8F49-4B92-AFFD-5240EEF12437}"/>
    <cellStyle name="Currency 5 2 2 4 4 3" xfId="5887" xr:uid="{00000000-0005-0000-0000-0000FF0B0000}"/>
    <cellStyle name="Currency 5 2 2 4 4 3 2" xfId="14326" xr:uid="{13384FFE-76D8-40FE-B403-F38A44A3389A}"/>
    <cellStyle name="Currency 5 2 2 4 4 4" xfId="10108" xr:uid="{990ACDA8-162A-4D74-884C-0AB9AF8C8CE5}"/>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90F85D5A-F229-4733-B5E6-56BD373055C5}"/>
    <cellStyle name="Currency 5 2 2 4 5 2 3" xfId="12666" xr:uid="{DD71F034-61F3-4070-B9CF-BDB13CD885E3}"/>
    <cellStyle name="Currency 5 2 2 4 5 3" xfId="6300" xr:uid="{00000000-0005-0000-0000-0000030C0000}"/>
    <cellStyle name="Currency 5 2 2 4 5 3 2" xfId="14739" xr:uid="{6B7293FB-7DC2-40CC-A9DC-67A0B8D501BA}"/>
    <cellStyle name="Currency 5 2 2 4 5 4" xfId="10521" xr:uid="{4282CD3D-7778-4226-A728-348A47691435}"/>
    <cellStyle name="Currency 5 2 2 4 6" xfId="2428" xr:uid="{00000000-0005-0000-0000-0000040C0000}"/>
    <cellStyle name="Currency 5 2 2 4 6 2" xfId="6713" xr:uid="{00000000-0005-0000-0000-0000050C0000}"/>
    <cellStyle name="Currency 5 2 2 4 6 2 2" xfId="15152" xr:uid="{3FAA30FB-36A2-42B3-B371-84ECB9DA2B8E}"/>
    <cellStyle name="Currency 5 2 2 4 6 3" xfId="10934" xr:uid="{C34B172C-2CF2-424A-B807-3E8322770628}"/>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0DFD411E-7D1A-4D44-AB8C-800C34F2B96B}"/>
    <cellStyle name="Currency 5 2 2 4 8 3" xfId="11251" xr:uid="{1314ABA2-C6D1-4591-BC22-CBCAF9AD5C99}"/>
    <cellStyle name="Currency 5 2 2 4 9" xfId="4647" xr:uid="{00000000-0005-0000-0000-0000090C0000}"/>
    <cellStyle name="Currency 5 2 2 4 9 2" xfId="13086" xr:uid="{3C7CBF27-47D4-40BE-97FD-F236A730109D}"/>
    <cellStyle name="Currency 5 2 2 5" xfId="203" xr:uid="{00000000-0005-0000-0000-00000A0C0000}"/>
    <cellStyle name="Currency 5 2 2 5 10" xfId="8869" xr:uid="{3F3A2BFC-2B50-4E7F-A02B-678246036CCA}"/>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65A92B3B-E3C2-4B4B-9937-D90C73068A59}"/>
    <cellStyle name="Currency 5 2 2 5 2 2 3" xfId="11428" xr:uid="{A175990D-A0A5-41CF-87E0-4EF4F6FE0764}"/>
    <cellStyle name="Currency 5 2 2 5 2 3" xfId="5062" xr:uid="{00000000-0005-0000-0000-00000E0C0000}"/>
    <cellStyle name="Currency 5 2 2 5 2 3 2" xfId="13501" xr:uid="{AFF4C581-31D1-4538-8FF4-DE35E6347F54}"/>
    <cellStyle name="Currency 5 2 2 5 2 4" xfId="9283" xr:uid="{1217954E-6871-45EA-BE68-DF588078AC68}"/>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CFFFB96B-1312-4631-9F92-05BCD6114680}"/>
    <cellStyle name="Currency 5 2 2 5 3 2 3" xfId="11841" xr:uid="{D75C47C6-3BFF-4633-966F-4A7A7D2DA4F8}"/>
    <cellStyle name="Currency 5 2 2 5 3 3" xfId="5475" xr:uid="{00000000-0005-0000-0000-0000120C0000}"/>
    <cellStyle name="Currency 5 2 2 5 3 3 2" xfId="13914" xr:uid="{D135BE44-7C97-44EB-9597-AB6FA7F8BE02}"/>
    <cellStyle name="Currency 5 2 2 5 3 4" xfId="9696" xr:uid="{C99A084C-1E50-4CB9-A513-C0FFD8FAD7AB}"/>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AE42EDEC-180E-4064-85D5-4271E5E7D600}"/>
    <cellStyle name="Currency 5 2 2 5 4 2 3" xfId="12254" xr:uid="{F167EE38-6E7D-4E8E-9BAD-6D916D1F5313}"/>
    <cellStyle name="Currency 5 2 2 5 4 3" xfId="5888" xr:uid="{00000000-0005-0000-0000-0000160C0000}"/>
    <cellStyle name="Currency 5 2 2 5 4 3 2" xfId="14327" xr:uid="{7D135B23-C5C8-47BB-9B1C-F73AC6F6A83B}"/>
    <cellStyle name="Currency 5 2 2 5 4 4" xfId="10109" xr:uid="{B7151AC4-5652-4571-AEE9-048E0C8FD4D7}"/>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21DF8533-5796-40AF-A472-2D94ED4F9DF2}"/>
    <cellStyle name="Currency 5 2 2 5 5 2 3" xfId="12667" xr:uid="{2768DC43-0268-40DE-A9F6-F5BD757A74C2}"/>
    <cellStyle name="Currency 5 2 2 5 5 3" xfId="6301" xr:uid="{00000000-0005-0000-0000-00001A0C0000}"/>
    <cellStyle name="Currency 5 2 2 5 5 3 2" xfId="14740" xr:uid="{CDF551B5-952F-4713-AD49-A43017D21C71}"/>
    <cellStyle name="Currency 5 2 2 5 5 4" xfId="10522" xr:uid="{89D31490-B9CB-4779-944B-CEF436A54D5C}"/>
    <cellStyle name="Currency 5 2 2 5 6" xfId="2429" xr:uid="{00000000-0005-0000-0000-00001B0C0000}"/>
    <cellStyle name="Currency 5 2 2 5 6 2" xfId="6714" xr:uid="{00000000-0005-0000-0000-00001C0C0000}"/>
    <cellStyle name="Currency 5 2 2 5 6 2 2" xfId="15153" xr:uid="{97EFA2A2-A8B0-4D30-A3C2-8A57E8F111FD}"/>
    <cellStyle name="Currency 5 2 2 5 6 3" xfId="10935" xr:uid="{0ED6FB85-0512-4E16-BF70-B6AF6FA9316A}"/>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01B6E6FB-5561-460C-ABFA-C44C879C37E7}"/>
    <cellStyle name="Currency 5 2 2 5 8 3" xfId="11252" xr:uid="{933F6422-B5BB-4E4E-9243-731176641B9A}"/>
    <cellStyle name="Currency 5 2 2 5 9" xfId="4648" xr:uid="{00000000-0005-0000-0000-0000200C0000}"/>
    <cellStyle name="Currency 5 2 2 5 9 2" xfId="13087" xr:uid="{DF2593AA-FD3E-44AC-A5C9-571F32850716}"/>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26272BDF-0742-4527-B7A3-F11E1DFCEE74}"/>
    <cellStyle name="Currency 5 2 4 11" xfId="8870" xr:uid="{360BCBC7-691A-48FB-887F-EF42B9E130B3}"/>
    <cellStyle name="Currency 5 2 4 2" xfId="206" xr:uid="{00000000-0005-0000-0000-0000250C0000}"/>
    <cellStyle name="Currency 5 2 4 2 10" xfId="8871" xr:uid="{3EA76616-DCE0-4FBA-AB7C-88A7984C0AB5}"/>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14A84943-A1F6-48A6-824D-95CD7A4273F4}"/>
    <cellStyle name="Currency 5 2 4 2 2 2 3" xfId="11430" xr:uid="{51DD76F6-57E4-4CCB-A38D-40081E51D993}"/>
    <cellStyle name="Currency 5 2 4 2 2 3" xfId="5064" xr:uid="{00000000-0005-0000-0000-0000290C0000}"/>
    <cellStyle name="Currency 5 2 4 2 2 3 2" xfId="13503" xr:uid="{E8FEC657-25BB-44B6-9344-8648BD9A636A}"/>
    <cellStyle name="Currency 5 2 4 2 2 4" xfId="9285" xr:uid="{802DCF9E-331C-41B0-B57C-40A235CB3D6C}"/>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981D5762-A9E9-4DC5-9D06-5192CE247BC6}"/>
    <cellStyle name="Currency 5 2 4 2 3 2 3" xfId="11843" xr:uid="{9C78FF34-F5BE-4538-9AA2-576420C0B638}"/>
    <cellStyle name="Currency 5 2 4 2 3 3" xfId="5477" xr:uid="{00000000-0005-0000-0000-00002D0C0000}"/>
    <cellStyle name="Currency 5 2 4 2 3 3 2" xfId="13916" xr:uid="{FDC59828-10B4-42F5-8DB0-3907B8B79B70}"/>
    <cellStyle name="Currency 5 2 4 2 3 4" xfId="9698" xr:uid="{665AF4D3-0193-451B-A927-E7F70517928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B5C09E40-880E-45E4-83B3-11107502045B}"/>
    <cellStyle name="Currency 5 2 4 2 4 2 3" xfId="12256" xr:uid="{3F7BCF5D-1474-478F-B624-88DBED2132CE}"/>
    <cellStyle name="Currency 5 2 4 2 4 3" xfId="5890" xr:uid="{00000000-0005-0000-0000-0000310C0000}"/>
    <cellStyle name="Currency 5 2 4 2 4 3 2" xfId="14329" xr:uid="{9041DDEE-4A69-44AC-93A1-82AAFFDA5E66}"/>
    <cellStyle name="Currency 5 2 4 2 4 4" xfId="10111" xr:uid="{BD0CB62C-56C9-4667-A028-9FAF55FA88E6}"/>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DA2387A3-3CAC-46FE-B726-48186B5D7A16}"/>
    <cellStyle name="Currency 5 2 4 2 5 2 3" xfId="12669" xr:uid="{C3823D48-2FB6-46D3-9CE1-33A3B62B3130}"/>
    <cellStyle name="Currency 5 2 4 2 5 3" xfId="6303" xr:uid="{00000000-0005-0000-0000-0000350C0000}"/>
    <cellStyle name="Currency 5 2 4 2 5 3 2" xfId="14742" xr:uid="{E903438E-763F-4CA8-84F6-63B5831F67AA}"/>
    <cellStyle name="Currency 5 2 4 2 5 4" xfId="10524" xr:uid="{FBE930A4-94D3-445E-B696-0D0DA8CC2026}"/>
    <cellStyle name="Currency 5 2 4 2 6" xfId="2431" xr:uid="{00000000-0005-0000-0000-0000360C0000}"/>
    <cellStyle name="Currency 5 2 4 2 6 2" xfId="6716" xr:uid="{00000000-0005-0000-0000-0000370C0000}"/>
    <cellStyle name="Currency 5 2 4 2 6 2 2" xfId="15155" xr:uid="{D4AC49EF-6ED8-4C6C-AB4C-F46FBBCEDB64}"/>
    <cellStyle name="Currency 5 2 4 2 6 3" xfId="10937" xr:uid="{E40B9045-87DF-4D0B-A719-124F3130EB35}"/>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3A658FBB-C481-417A-B49D-B82117FCEDA2}"/>
    <cellStyle name="Currency 5 2 4 2 8 3" xfId="11254" xr:uid="{FA688A8D-FC22-4331-8D7A-FFACFF506582}"/>
    <cellStyle name="Currency 5 2 4 2 9" xfId="4650" xr:uid="{00000000-0005-0000-0000-00003B0C0000}"/>
    <cellStyle name="Currency 5 2 4 2 9 2" xfId="13089" xr:uid="{251B27A6-8891-4EEA-A5BF-79389218AF2F}"/>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658CF63D-D550-43AE-8B18-A7D39AAB9666}"/>
    <cellStyle name="Currency 5 2 4 3 2 3" xfId="11429" xr:uid="{9C2EF55E-B621-4347-A532-DBC4228A2703}"/>
    <cellStyle name="Currency 5 2 4 3 3" xfId="5063" xr:uid="{00000000-0005-0000-0000-00003F0C0000}"/>
    <cellStyle name="Currency 5 2 4 3 3 2" xfId="13502" xr:uid="{B66BE45D-174E-4FD1-8CDD-E39F063DD6A7}"/>
    <cellStyle name="Currency 5 2 4 3 4" xfId="9284" xr:uid="{83EDE69D-C668-4A80-9340-C1F19199A39D}"/>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4CFFBD6C-E3C0-45A0-A879-70955870DA4C}"/>
    <cellStyle name="Currency 5 2 4 4 2 3" xfId="11842" xr:uid="{F0B102B3-EC54-4997-90B1-855719057CA0}"/>
    <cellStyle name="Currency 5 2 4 4 3" xfId="5476" xr:uid="{00000000-0005-0000-0000-0000430C0000}"/>
    <cellStyle name="Currency 5 2 4 4 3 2" xfId="13915" xr:uid="{DC333D86-A30B-4069-A525-419DD42C4514}"/>
    <cellStyle name="Currency 5 2 4 4 4" xfId="9697" xr:uid="{4C663E59-0121-4BB9-AB74-0060DAFDE024}"/>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E9EAC4BA-E37C-4CFD-8E63-B3246D4DDEEA}"/>
    <cellStyle name="Currency 5 2 4 5 2 3" xfId="12255" xr:uid="{B2B7A628-CDB3-489B-8C8D-FD3C6F6A9127}"/>
    <cellStyle name="Currency 5 2 4 5 3" xfId="5889" xr:uid="{00000000-0005-0000-0000-0000470C0000}"/>
    <cellStyle name="Currency 5 2 4 5 3 2" xfId="14328" xr:uid="{DF95E746-8D76-4C04-B050-1FF032247DAD}"/>
    <cellStyle name="Currency 5 2 4 5 4" xfId="10110" xr:uid="{9505CB9C-1B51-4F1E-89B8-45A85C03E40B}"/>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D1BD6489-3D2D-427D-8F4E-C0BA2DC6FDC1}"/>
    <cellStyle name="Currency 5 2 4 6 2 3" xfId="12668" xr:uid="{96861B04-8460-474C-AC09-DD9BBB354A0F}"/>
    <cellStyle name="Currency 5 2 4 6 3" xfId="6302" xr:uid="{00000000-0005-0000-0000-00004B0C0000}"/>
    <cellStyle name="Currency 5 2 4 6 3 2" xfId="14741" xr:uid="{06BA145A-9B19-4C01-8779-174C0D46F54F}"/>
    <cellStyle name="Currency 5 2 4 6 4" xfId="10523" xr:uid="{A15E10BE-1788-4208-B07F-830ED10D8FB3}"/>
    <cellStyle name="Currency 5 2 4 7" xfId="2430" xr:uid="{00000000-0005-0000-0000-00004C0C0000}"/>
    <cellStyle name="Currency 5 2 4 7 2" xfId="6715" xr:uid="{00000000-0005-0000-0000-00004D0C0000}"/>
    <cellStyle name="Currency 5 2 4 7 2 2" xfId="15154" xr:uid="{1170FF1C-F2F2-4741-85A1-480AD9A1D12B}"/>
    <cellStyle name="Currency 5 2 4 7 3" xfId="10936" xr:uid="{E72D8FA7-6CAD-44B1-AD02-401B4445532D}"/>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348FFE67-4963-4188-AF52-72A9CD38E422}"/>
    <cellStyle name="Currency 5 2 4 9 3" xfId="11253" xr:uid="{A043CF15-9DAA-4028-98F1-62F89ADDDF6A}"/>
    <cellStyle name="Currency 5 2 5" xfId="207" xr:uid="{00000000-0005-0000-0000-0000510C0000}"/>
    <cellStyle name="Currency 5 2 5 10" xfId="8872" xr:uid="{3640B143-3535-4052-958B-591A90BA74C7}"/>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D368FFBB-DF9E-4E04-B5EA-475976C2A987}"/>
    <cellStyle name="Currency 5 2 5 2 2 3" xfId="11431" xr:uid="{324D31DE-8ACF-4405-B3DB-4BF1BF82EAFF}"/>
    <cellStyle name="Currency 5 2 5 2 3" xfId="5065" xr:uid="{00000000-0005-0000-0000-0000550C0000}"/>
    <cellStyle name="Currency 5 2 5 2 3 2" xfId="13504" xr:uid="{5A25213C-8EEC-465C-8BF8-855576E07B34}"/>
    <cellStyle name="Currency 5 2 5 2 4" xfId="9286" xr:uid="{B1984DBF-2098-4CAD-AF2D-90647ADFED89}"/>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4C526E01-4EDD-441D-A3A3-71605805F366}"/>
    <cellStyle name="Currency 5 2 5 3 2 3" xfId="11844" xr:uid="{B91A317D-6AE4-458A-A596-C579B124F062}"/>
    <cellStyle name="Currency 5 2 5 3 3" xfId="5478" xr:uid="{00000000-0005-0000-0000-0000590C0000}"/>
    <cellStyle name="Currency 5 2 5 3 3 2" xfId="13917" xr:uid="{A3A35A4F-2911-4728-A6D9-8055B78BD8F1}"/>
    <cellStyle name="Currency 5 2 5 3 4" xfId="9699" xr:uid="{7629B3D6-4F64-4AAC-AA3B-34E5B821AB5B}"/>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96DD55E4-F046-43EA-8103-14C0F33E3F06}"/>
    <cellStyle name="Currency 5 2 5 4 2 3" xfId="12257" xr:uid="{587C0A55-6EDA-4C23-A278-925335A43083}"/>
    <cellStyle name="Currency 5 2 5 4 3" xfId="5891" xr:uid="{00000000-0005-0000-0000-00005D0C0000}"/>
    <cellStyle name="Currency 5 2 5 4 3 2" xfId="14330" xr:uid="{561F5211-6F54-4E27-B2CE-24D7034FEE53}"/>
    <cellStyle name="Currency 5 2 5 4 4" xfId="10112" xr:uid="{DA309E5C-C366-4776-99F5-870C8EB2F1B1}"/>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18041F7E-BB43-4F8D-9943-6BCF7DACA3E3}"/>
    <cellStyle name="Currency 5 2 5 5 2 3" xfId="12670" xr:uid="{46F52A3F-1EA9-4541-8058-420E80E296EC}"/>
    <cellStyle name="Currency 5 2 5 5 3" xfId="6304" xr:uid="{00000000-0005-0000-0000-0000610C0000}"/>
    <cellStyle name="Currency 5 2 5 5 3 2" xfId="14743" xr:uid="{AB0588F3-ACA8-4278-B687-84D855FB3E4B}"/>
    <cellStyle name="Currency 5 2 5 5 4" xfId="10525" xr:uid="{7A276118-A257-47C2-B92A-7B9E0DE727AE}"/>
    <cellStyle name="Currency 5 2 5 6" xfId="2432" xr:uid="{00000000-0005-0000-0000-0000620C0000}"/>
    <cellStyle name="Currency 5 2 5 6 2" xfId="6717" xr:uid="{00000000-0005-0000-0000-0000630C0000}"/>
    <cellStyle name="Currency 5 2 5 6 2 2" xfId="15156" xr:uid="{C02DE483-15E2-4B0D-8608-37C0F099D977}"/>
    <cellStyle name="Currency 5 2 5 6 3" xfId="10938" xr:uid="{0B2EA0E2-0096-493A-884B-CC11BDEF27D9}"/>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D31E64FA-7364-48F0-8BEF-7ED3079EB561}"/>
    <cellStyle name="Currency 5 2 5 8 3" xfId="11255" xr:uid="{B6EACC25-9AF2-41E3-8529-D0C0892204CD}"/>
    <cellStyle name="Currency 5 2 5 9" xfId="4651" xr:uid="{00000000-0005-0000-0000-0000670C0000}"/>
    <cellStyle name="Currency 5 2 5 9 2" xfId="13090" xr:uid="{86A58C2F-5910-4DAE-A6B9-D21BBB78C033}"/>
    <cellStyle name="Currency 5 2 6" xfId="208" xr:uid="{00000000-0005-0000-0000-0000680C0000}"/>
    <cellStyle name="Currency 5 2 6 10" xfId="8873" xr:uid="{4D332CC0-D181-43E2-A761-8944955B5133}"/>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791B7F33-ECF6-4C67-95BF-5D688B2FCEFA}"/>
    <cellStyle name="Currency 5 2 6 2 2 3" xfId="11432" xr:uid="{37C7D7D3-C8DC-4FCA-AC35-547E9AA51853}"/>
    <cellStyle name="Currency 5 2 6 2 3" xfId="5066" xr:uid="{00000000-0005-0000-0000-00006C0C0000}"/>
    <cellStyle name="Currency 5 2 6 2 3 2" xfId="13505" xr:uid="{9E8AF388-01AA-4654-9754-F6710723CF29}"/>
    <cellStyle name="Currency 5 2 6 2 4" xfId="9287" xr:uid="{039A6F01-E2B1-4691-94A0-3BD2D7BE7908}"/>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07B46ED9-CCF1-457F-8F9D-F153A8C61F04}"/>
    <cellStyle name="Currency 5 2 6 3 2 3" xfId="11845" xr:uid="{FCB53755-A524-452F-A7D2-873F4243CDFF}"/>
    <cellStyle name="Currency 5 2 6 3 3" xfId="5479" xr:uid="{00000000-0005-0000-0000-0000700C0000}"/>
    <cellStyle name="Currency 5 2 6 3 3 2" xfId="13918" xr:uid="{AAFDC76D-C1BE-453C-B231-70740EECD64C}"/>
    <cellStyle name="Currency 5 2 6 3 4" xfId="9700" xr:uid="{0A7F14A1-6FDD-4DEC-ACD1-660A08763D9F}"/>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F2F2A90A-FD72-4906-9F9D-33A5D415E244}"/>
    <cellStyle name="Currency 5 2 6 4 2 3" xfId="12258" xr:uid="{6E97545C-B818-44FC-9C5A-8DB52CB73AA6}"/>
    <cellStyle name="Currency 5 2 6 4 3" xfId="5892" xr:uid="{00000000-0005-0000-0000-0000740C0000}"/>
    <cellStyle name="Currency 5 2 6 4 3 2" xfId="14331" xr:uid="{FD877C41-913D-4025-A3B5-1E8F15206AF9}"/>
    <cellStyle name="Currency 5 2 6 4 4" xfId="10113" xr:uid="{743118C5-8717-4022-B428-B1972B3FB716}"/>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8996A851-165E-4C11-AF2C-CE6D0B6A7A2C}"/>
    <cellStyle name="Currency 5 2 6 5 2 3" xfId="12671" xr:uid="{AE48CFD6-479F-429B-87DA-5D7C51979E43}"/>
    <cellStyle name="Currency 5 2 6 5 3" xfId="6305" xr:uid="{00000000-0005-0000-0000-0000780C0000}"/>
    <cellStyle name="Currency 5 2 6 5 3 2" xfId="14744" xr:uid="{3533BD8D-A723-481E-BBC5-FDF8A0373047}"/>
    <cellStyle name="Currency 5 2 6 5 4" xfId="10526" xr:uid="{52405197-A962-4D80-9B01-19D215B00CEC}"/>
    <cellStyle name="Currency 5 2 6 6" xfId="2433" xr:uid="{00000000-0005-0000-0000-0000790C0000}"/>
    <cellStyle name="Currency 5 2 6 6 2" xfId="6718" xr:uid="{00000000-0005-0000-0000-00007A0C0000}"/>
    <cellStyle name="Currency 5 2 6 6 2 2" xfId="15157" xr:uid="{8A8ACDFC-881F-4B50-81E2-999E6B91CBD6}"/>
    <cellStyle name="Currency 5 2 6 6 3" xfId="10939" xr:uid="{8C817F20-C835-4CB8-B748-A88E2B33DAEF}"/>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8FE9615A-5C1B-4861-882D-12C3A99CD7A3}"/>
    <cellStyle name="Currency 5 2 6 8 3" xfId="11256" xr:uid="{797AD976-B6F9-4E85-8A8D-A4EABA5913F9}"/>
    <cellStyle name="Currency 5 2 6 9" xfId="4652" xr:uid="{00000000-0005-0000-0000-00007E0C0000}"/>
    <cellStyle name="Currency 5 2 6 9 2" xfId="13091" xr:uid="{123EB691-1310-40A6-BBBE-8B0F8D9DC9E5}"/>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044F8CDF-E1CD-49DC-845C-725F55B174CA}"/>
    <cellStyle name="Currency 5 3 2 10 3" xfId="11257" xr:uid="{7F451C0B-3342-4B90-8E3A-2649E02F6B5A}"/>
    <cellStyle name="Currency 5 3 2 11" xfId="4653" xr:uid="{00000000-0005-0000-0000-0000840C0000}"/>
    <cellStyle name="Currency 5 3 2 11 2" xfId="13092" xr:uid="{35BF24AF-2B83-4508-8A10-454FCABB751F}"/>
    <cellStyle name="Currency 5 3 2 12" xfId="8874" xr:uid="{6DF5702B-93C7-4627-9246-A7F60BA4C1BA}"/>
    <cellStyle name="Currency 5 3 2 2" xfId="211" xr:uid="{00000000-0005-0000-0000-0000850C0000}"/>
    <cellStyle name="Currency 5 3 2 2 10" xfId="4654" xr:uid="{00000000-0005-0000-0000-0000860C0000}"/>
    <cellStyle name="Currency 5 3 2 2 10 2" xfId="13093" xr:uid="{FCD37224-6937-46ED-AD94-266C288A0E0C}"/>
    <cellStyle name="Currency 5 3 2 2 11" xfId="8875" xr:uid="{26F15C50-F2C3-4486-87E6-E49DE3553EF7}"/>
    <cellStyle name="Currency 5 3 2 2 2" xfId="212" xr:uid="{00000000-0005-0000-0000-0000870C0000}"/>
    <cellStyle name="Currency 5 3 2 2 2 10" xfId="8876" xr:uid="{977A0178-565F-4748-93B2-1B091AE1DEA7}"/>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D971D67F-02C8-41D5-8627-E3685F1A1142}"/>
    <cellStyle name="Currency 5 3 2 2 2 2 2 3" xfId="11435" xr:uid="{9372E759-20DF-43F9-B023-1CA6AE8AAA62}"/>
    <cellStyle name="Currency 5 3 2 2 2 2 3" xfId="5069" xr:uid="{00000000-0005-0000-0000-00008B0C0000}"/>
    <cellStyle name="Currency 5 3 2 2 2 2 3 2" xfId="13508" xr:uid="{9AABF538-4C5C-416C-A8DE-F8FA915C7F63}"/>
    <cellStyle name="Currency 5 3 2 2 2 2 4" xfId="9290" xr:uid="{E541A06E-FAEF-4BC6-955A-C6CCD0D9D9FB}"/>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05D18B6A-56E2-4395-AC73-D95F9702EF08}"/>
    <cellStyle name="Currency 5 3 2 2 2 3 2 3" xfId="11848" xr:uid="{1568AEC5-6D0B-4357-90CA-0FFA99CFF3C3}"/>
    <cellStyle name="Currency 5 3 2 2 2 3 3" xfId="5482" xr:uid="{00000000-0005-0000-0000-00008F0C0000}"/>
    <cellStyle name="Currency 5 3 2 2 2 3 3 2" xfId="13921" xr:uid="{FE184889-ACF9-4CB2-B798-69BE74A6A7C8}"/>
    <cellStyle name="Currency 5 3 2 2 2 3 4" xfId="9703" xr:uid="{E7A8926E-E446-4784-B945-F4591B2A7352}"/>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BBCB784E-CBD0-458A-99CF-E5FF627A9138}"/>
    <cellStyle name="Currency 5 3 2 2 2 4 2 3" xfId="12261" xr:uid="{F118EE76-95B0-4525-9D2A-2544DDBDF663}"/>
    <cellStyle name="Currency 5 3 2 2 2 4 3" xfId="5895" xr:uid="{00000000-0005-0000-0000-0000930C0000}"/>
    <cellStyle name="Currency 5 3 2 2 2 4 3 2" xfId="14334" xr:uid="{E5D7F3E4-EAC6-48D4-BB61-E099AC30B097}"/>
    <cellStyle name="Currency 5 3 2 2 2 4 4" xfId="10116" xr:uid="{6E14BF83-CE19-4246-BB0F-9590B1B0F2C4}"/>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170036E1-FE95-4D15-B9A4-4DCC68A35E4A}"/>
    <cellStyle name="Currency 5 3 2 2 2 5 2 3" xfId="12674" xr:uid="{C3254762-D5B4-4FD9-B020-74CF6505A973}"/>
    <cellStyle name="Currency 5 3 2 2 2 5 3" xfId="6308" xr:uid="{00000000-0005-0000-0000-0000970C0000}"/>
    <cellStyle name="Currency 5 3 2 2 2 5 3 2" xfId="14747" xr:uid="{1F71DC4C-23F7-4CCD-80A8-7C426637B952}"/>
    <cellStyle name="Currency 5 3 2 2 2 5 4" xfId="10529" xr:uid="{28DF9672-0C37-42C1-AE8A-4DFF2C6E8588}"/>
    <cellStyle name="Currency 5 3 2 2 2 6" xfId="2436" xr:uid="{00000000-0005-0000-0000-0000980C0000}"/>
    <cellStyle name="Currency 5 3 2 2 2 6 2" xfId="6721" xr:uid="{00000000-0005-0000-0000-0000990C0000}"/>
    <cellStyle name="Currency 5 3 2 2 2 6 2 2" xfId="15160" xr:uid="{831E1347-F05F-4853-9D64-B8E411DAF549}"/>
    <cellStyle name="Currency 5 3 2 2 2 6 3" xfId="10942" xr:uid="{16C6CE44-922E-48A9-85BC-9E3BAA5B7CD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B783162D-DCA6-4AA7-904F-02AF7F0B381E}"/>
    <cellStyle name="Currency 5 3 2 2 2 8 3" xfId="11259" xr:uid="{097FAA84-3A7E-48F0-AB2E-5B61E24C797D}"/>
    <cellStyle name="Currency 5 3 2 2 2 9" xfId="4655" xr:uid="{00000000-0005-0000-0000-00009D0C0000}"/>
    <cellStyle name="Currency 5 3 2 2 2 9 2" xfId="13094" xr:uid="{6459A854-2A14-42E3-8339-FA7D5D94C14D}"/>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3597671A-853C-46FC-B9EE-15D278854C85}"/>
    <cellStyle name="Currency 5 3 2 2 3 2 3" xfId="11434" xr:uid="{0D5BC7A1-3977-4A66-A518-B784D02F1EA2}"/>
    <cellStyle name="Currency 5 3 2 2 3 3" xfId="5068" xr:uid="{00000000-0005-0000-0000-0000A10C0000}"/>
    <cellStyle name="Currency 5 3 2 2 3 3 2" xfId="13507" xr:uid="{660C26B5-6B84-47C6-B58E-19C712C1A4A7}"/>
    <cellStyle name="Currency 5 3 2 2 3 4" xfId="9289" xr:uid="{BAB85341-12E9-4FCB-8B55-3A284E8D59BC}"/>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A25EF624-B9D6-4414-80B1-7123ED1CBDEE}"/>
    <cellStyle name="Currency 5 3 2 2 4 2 3" xfId="11847" xr:uid="{A4445740-917E-4CDF-B603-B702B51B727B}"/>
    <cellStyle name="Currency 5 3 2 2 4 3" xfId="5481" xr:uid="{00000000-0005-0000-0000-0000A50C0000}"/>
    <cellStyle name="Currency 5 3 2 2 4 3 2" xfId="13920" xr:uid="{D41CC341-EB65-4106-9881-3EB9038CB609}"/>
    <cellStyle name="Currency 5 3 2 2 4 4" xfId="9702" xr:uid="{C19A4742-824D-42E0-813A-75762C6C226F}"/>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4B0E9187-C142-480D-9EC9-F40F5862F651}"/>
    <cellStyle name="Currency 5 3 2 2 5 2 3" xfId="12260" xr:uid="{1096E3A2-9A32-4D61-84E8-D13D0517ECAB}"/>
    <cellStyle name="Currency 5 3 2 2 5 3" xfId="5894" xr:uid="{00000000-0005-0000-0000-0000A90C0000}"/>
    <cellStyle name="Currency 5 3 2 2 5 3 2" xfId="14333" xr:uid="{94C2D3FD-22CC-490B-B502-965AD2A27360}"/>
    <cellStyle name="Currency 5 3 2 2 5 4" xfId="10115" xr:uid="{051B414F-F0CD-4C5D-8D55-A88F961B6061}"/>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825C6C8B-CE59-43A6-8FBD-C2334269A78C}"/>
    <cellStyle name="Currency 5 3 2 2 6 2 3" xfId="12673" xr:uid="{8F839E69-F46B-4BFB-8CA1-DF52643D4F45}"/>
    <cellStyle name="Currency 5 3 2 2 6 3" xfId="6307" xr:uid="{00000000-0005-0000-0000-0000AD0C0000}"/>
    <cellStyle name="Currency 5 3 2 2 6 3 2" xfId="14746" xr:uid="{00BE53D1-E9E3-4219-BE12-6505FA6F7E75}"/>
    <cellStyle name="Currency 5 3 2 2 6 4" xfId="10528" xr:uid="{77056FFC-F7FF-4A5E-B0DB-247DE6CD4F1D}"/>
    <cellStyle name="Currency 5 3 2 2 7" xfId="2435" xr:uid="{00000000-0005-0000-0000-0000AE0C0000}"/>
    <cellStyle name="Currency 5 3 2 2 7 2" xfId="6720" xr:uid="{00000000-0005-0000-0000-0000AF0C0000}"/>
    <cellStyle name="Currency 5 3 2 2 7 2 2" xfId="15159" xr:uid="{4638DF6E-82B1-4ABB-ADAD-214AEB2A28DB}"/>
    <cellStyle name="Currency 5 3 2 2 7 3" xfId="10941" xr:uid="{4FC837EC-0D7A-4F69-AB0C-9380D115A23B}"/>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8422E8A4-9643-46AB-A7F4-DC72099BE57A}"/>
    <cellStyle name="Currency 5 3 2 2 9 3" xfId="11258" xr:uid="{62023774-64F1-4043-A028-D1D23296920B}"/>
    <cellStyle name="Currency 5 3 2 3" xfId="213" xr:uid="{00000000-0005-0000-0000-0000B30C0000}"/>
    <cellStyle name="Currency 5 3 2 3 10" xfId="8877" xr:uid="{A48E76BE-7405-4323-A53F-659950F7DD9E}"/>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DFF2B8D1-6ACE-4EEC-922A-4F593CF99C1F}"/>
    <cellStyle name="Currency 5 3 2 3 2 2 3" xfId="11436" xr:uid="{3402D5E4-08F6-40EB-AC6C-17FCD5381233}"/>
    <cellStyle name="Currency 5 3 2 3 2 3" xfId="5070" xr:uid="{00000000-0005-0000-0000-0000B70C0000}"/>
    <cellStyle name="Currency 5 3 2 3 2 3 2" xfId="13509" xr:uid="{4FFBD813-172C-4725-A39A-85D90FBFF35A}"/>
    <cellStyle name="Currency 5 3 2 3 2 4" xfId="9291" xr:uid="{9B0FB56F-D154-4F2D-9F70-722A0C391701}"/>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CC10D7D7-9893-49EF-ACD1-1D163282BFE6}"/>
    <cellStyle name="Currency 5 3 2 3 3 2 3" xfId="11849" xr:uid="{9724553A-51E2-4E3C-963B-1270B3F47B4D}"/>
    <cellStyle name="Currency 5 3 2 3 3 3" xfId="5483" xr:uid="{00000000-0005-0000-0000-0000BB0C0000}"/>
    <cellStyle name="Currency 5 3 2 3 3 3 2" xfId="13922" xr:uid="{3C64491F-6290-4788-A0BE-183FB6605C1F}"/>
    <cellStyle name="Currency 5 3 2 3 3 4" xfId="9704" xr:uid="{B865F9FC-6442-4881-A890-94E7968D1951}"/>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74CB5C76-9A85-4A6F-916E-CE0DE2258070}"/>
    <cellStyle name="Currency 5 3 2 3 4 2 3" xfId="12262" xr:uid="{AF2BC056-C559-480D-947C-46D8F79EAA3B}"/>
    <cellStyle name="Currency 5 3 2 3 4 3" xfId="5896" xr:uid="{00000000-0005-0000-0000-0000BF0C0000}"/>
    <cellStyle name="Currency 5 3 2 3 4 3 2" xfId="14335" xr:uid="{14589CD5-B3BB-473B-8C1D-BA47CF778A57}"/>
    <cellStyle name="Currency 5 3 2 3 4 4" xfId="10117" xr:uid="{5D068D9F-FBE4-44DD-838E-E7E6DC318D33}"/>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4F38EFC2-1CDA-460F-BF60-29AA84CF8A56}"/>
    <cellStyle name="Currency 5 3 2 3 5 2 3" xfId="12675" xr:uid="{29070F94-5E6C-427D-8209-480CBEC97071}"/>
    <cellStyle name="Currency 5 3 2 3 5 3" xfId="6309" xr:uid="{00000000-0005-0000-0000-0000C30C0000}"/>
    <cellStyle name="Currency 5 3 2 3 5 3 2" xfId="14748" xr:uid="{3605BBEA-DD0B-4319-9CA2-40FE18B09C82}"/>
    <cellStyle name="Currency 5 3 2 3 5 4" xfId="10530" xr:uid="{CC6D557D-FA3B-4A55-80DA-71BC0FA0930C}"/>
    <cellStyle name="Currency 5 3 2 3 6" xfId="2437" xr:uid="{00000000-0005-0000-0000-0000C40C0000}"/>
    <cellStyle name="Currency 5 3 2 3 6 2" xfId="6722" xr:uid="{00000000-0005-0000-0000-0000C50C0000}"/>
    <cellStyle name="Currency 5 3 2 3 6 2 2" xfId="15161" xr:uid="{2E48FBAC-A0F8-414D-A726-84BCF9380332}"/>
    <cellStyle name="Currency 5 3 2 3 6 3" xfId="10943" xr:uid="{821F5CD1-BD85-44CF-84D3-7560E1C5B168}"/>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302DF57C-0CBE-4D5B-A1EC-8DFEBAE2A7AF}"/>
    <cellStyle name="Currency 5 3 2 3 8 3" xfId="11260" xr:uid="{107C6F03-CF8A-426D-8E3B-C5C1A0F8F224}"/>
    <cellStyle name="Currency 5 3 2 3 9" xfId="4656" xr:uid="{00000000-0005-0000-0000-0000C90C0000}"/>
    <cellStyle name="Currency 5 3 2 3 9 2" xfId="13095" xr:uid="{BA5A2F14-552B-4E9D-8221-61C920FC98B8}"/>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8C6AC5C4-4DD6-4C70-8223-0E1BDE08A80A}"/>
    <cellStyle name="Currency 5 3 2 4 2 3" xfId="11433" xr:uid="{83070B37-9193-4529-9B64-BFC31C1B9D45}"/>
    <cellStyle name="Currency 5 3 2 4 3" xfId="5067" xr:uid="{00000000-0005-0000-0000-0000CD0C0000}"/>
    <cellStyle name="Currency 5 3 2 4 3 2" xfId="13506" xr:uid="{9DC8A037-B1C6-41DF-80BC-AFC3797B610E}"/>
    <cellStyle name="Currency 5 3 2 4 4" xfId="9288" xr:uid="{0E865A14-A35E-4800-94FA-AE76C6AED58A}"/>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710A93F5-AD77-4FD2-AE45-E08705374082}"/>
    <cellStyle name="Currency 5 3 2 5 2 3" xfId="11846" xr:uid="{F51CE7CF-4704-4F63-A9F4-A1D7ABF87703}"/>
    <cellStyle name="Currency 5 3 2 5 3" xfId="5480" xr:uid="{00000000-0005-0000-0000-0000D10C0000}"/>
    <cellStyle name="Currency 5 3 2 5 3 2" xfId="13919" xr:uid="{350EB50C-735D-4D57-A52C-27451C877151}"/>
    <cellStyle name="Currency 5 3 2 5 4" xfId="9701" xr:uid="{B2E48081-0838-4947-BA3A-2D8D48359F9C}"/>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B1F8EC6D-7AAC-4B21-9403-A68010C5E546}"/>
    <cellStyle name="Currency 5 3 2 6 2 3" xfId="12259" xr:uid="{F2A83908-6C35-4C00-A122-C37FD055CCF6}"/>
    <cellStyle name="Currency 5 3 2 6 3" xfId="5893" xr:uid="{00000000-0005-0000-0000-0000D50C0000}"/>
    <cellStyle name="Currency 5 3 2 6 3 2" xfId="14332" xr:uid="{70AE0CE1-B8C9-43D4-86BE-7317027E0424}"/>
    <cellStyle name="Currency 5 3 2 6 4" xfId="10114" xr:uid="{5CCCB06C-CE74-4AFE-9362-3329EEC08FBF}"/>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B6ABB556-8ECD-4ADF-94E1-4A3F57508657}"/>
    <cellStyle name="Currency 5 3 2 7 2 3" xfId="12672" xr:uid="{71D31D28-CACF-4FD0-A298-39A011E599C9}"/>
    <cellStyle name="Currency 5 3 2 7 3" xfId="6306" xr:uid="{00000000-0005-0000-0000-0000D90C0000}"/>
    <cellStyle name="Currency 5 3 2 7 3 2" xfId="14745" xr:uid="{5E13EA63-70CC-44AC-A6D8-87A8A9655587}"/>
    <cellStyle name="Currency 5 3 2 7 4" xfId="10527" xr:uid="{548B4A4C-74BB-4FA8-A3C9-59FEF4ED55C9}"/>
    <cellStyle name="Currency 5 3 2 8" xfId="2434" xr:uid="{00000000-0005-0000-0000-0000DA0C0000}"/>
    <cellStyle name="Currency 5 3 2 8 2" xfId="6719" xr:uid="{00000000-0005-0000-0000-0000DB0C0000}"/>
    <cellStyle name="Currency 5 3 2 8 2 2" xfId="15158" xr:uid="{C6900D74-0262-4106-93B0-3D6D76E02F02}"/>
    <cellStyle name="Currency 5 3 2 8 3" xfId="10940" xr:uid="{4F701A21-1FE9-4053-BA6C-CE3786E4BB22}"/>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286C7592-DA1D-4573-8EA6-C64C6F603C03}"/>
    <cellStyle name="Currency 5 3 3 11" xfId="8878" xr:uid="{3C60C40D-92A2-4F74-B7DD-BFE05BD2CA73}"/>
    <cellStyle name="Currency 5 3 3 2" xfId="215" xr:uid="{00000000-0005-0000-0000-0000DF0C0000}"/>
    <cellStyle name="Currency 5 3 3 2 10" xfId="8879" xr:uid="{FE090409-1A21-4385-9CCF-341187D8732D}"/>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29DFD527-DBA6-47E1-8360-615D32821473}"/>
    <cellStyle name="Currency 5 3 3 2 2 2 3" xfId="11438" xr:uid="{FD7DF5C1-8184-4477-A852-11EE263A47AC}"/>
    <cellStyle name="Currency 5 3 3 2 2 3" xfId="5072" xr:uid="{00000000-0005-0000-0000-0000E30C0000}"/>
    <cellStyle name="Currency 5 3 3 2 2 3 2" xfId="13511" xr:uid="{BBC96473-F6CA-45B9-8CEA-F13227BB699F}"/>
    <cellStyle name="Currency 5 3 3 2 2 4" xfId="9293" xr:uid="{23F9D058-AAAA-4AE8-9B30-A2BAA2BA4954}"/>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8B6DFB64-0836-4BB6-83EF-3F0F75080FE6}"/>
    <cellStyle name="Currency 5 3 3 2 3 2 3" xfId="11851" xr:uid="{B48B84BB-EB58-4892-8961-B3FED600EAA7}"/>
    <cellStyle name="Currency 5 3 3 2 3 3" xfId="5485" xr:uid="{00000000-0005-0000-0000-0000E70C0000}"/>
    <cellStyle name="Currency 5 3 3 2 3 3 2" xfId="13924" xr:uid="{026A167C-CF69-4CFB-BBAB-2C714C277119}"/>
    <cellStyle name="Currency 5 3 3 2 3 4" xfId="9706" xr:uid="{2C802CF5-E49F-4579-A43B-ADC8E87EBC8E}"/>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76C363AD-9CBE-4BA1-9E1F-58B77F802693}"/>
    <cellStyle name="Currency 5 3 3 2 4 2 3" xfId="12264" xr:uid="{3DA9129A-437A-4828-9CD0-BB0486D5C972}"/>
    <cellStyle name="Currency 5 3 3 2 4 3" xfId="5898" xr:uid="{00000000-0005-0000-0000-0000EB0C0000}"/>
    <cellStyle name="Currency 5 3 3 2 4 3 2" xfId="14337" xr:uid="{91F8A7CB-8CC2-4605-A561-6A5FAA0E103F}"/>
    <cellStyle name="Currency 5 3 3 2 4 4" xfId="10119" xr:uid="{58FC2D89-E526-4D24-9FBA-9D94E6E1C5A5}"/>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0E1BB950-5753-4CD9-B7E9-7DEA494BE7C1}"/>
    <cellStyle name="Currency 5 3 3 2 5 2 3" xfId="12677" xr:uid="{B989FB94-2128-49DD-A779-A3C87C09F150}"/>
    <cellStyle name="Currency 5 3 3 2 5 3" xfId="6311" xr:uid="{00000000-0005-0000-0000-0000EF0C0000}"/>
    <cellStyle name="Currency 5 3 3 2 5 3 2" xfId="14750" xr:uid="{972DF1D6-D192-4687-848B-5029DEF5AC0D}"/>
    <cellStyle name="Currency 5 3 3 2 5 4" xfId="10532" xr:uid="{3D9234F4-AE60-4B82-88FE-81758EE474B7}"/>
    <cellStyle name="Currency 5 3 3 2 6" xfId="2439" xr:uid="{00000000-0005-0000-0000-0000F00C0000}"/>
    <cellStyle name="Currency 5 3 3 2 6 2" xfId="6724" xr:uid="{00000000-0005-0000-0000-0000F10C0000}"/>
    <cellStyle name="Currency 5 3 3 2 6 2 2" xfId="15163" xr:uid="{F3EFA574-DC45-4827-9E49-03BD2E818C70}"/>
    <cellStyle name="Currency 5 3 3 2 6 3" xfId="10945" xr:uid="{BC7DF695-3355-4C78-A580-384F99409BF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49DDC5D3-818E-4EFB-9992-1770FD7EC3A6}"/>
    <cellStyle name="Currency 5 3 3 2 8 3" xfId="11262" xr:uid="{4E77E74A-5FD3-4976-A9E6-1EA629C9CBB0}"/>
    <cellStyle name="Currency 5 3 3 2 9" xfId="4658" xr:uid="{00000000-0005-0000-0000-0000F50C0000}"/>
    <cellStyle name="Currency 5 3 3 2 9 2" xfId="13097" xr:uid="{89C0B46A-95FF-4735-9B2F-D133D4E229B6}"/>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C9AB616C-188B-4420-B367-4E993F1AC1B4}"/>
    <cellStyle name="Currency 5 3 3 3 2 3" xfId="11437" xr:uid="{8D84AB5F-99C9-4A1D-89CA-4ABAB78F6E72}"/>
    <cellStyle name="Currency 5 3 3 3 3" xfId="5071" xr:uid="{00000000-0005-0000-0000-0000F90C0000}"/>
    <cellStyle name="Currency 5 3 3 3 3 2" xfId="13510" xr:uid="{CEF6598B-5DCC-4495-B1EB-E80749AB01E9}"/>
    <cellStyle name="Currency 5 3 3 3 4" xfId="9292" xr:uid="{5023EC46-16C1-46FB-BB02-CB9C9B329F33}"/>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1A562460-98D6-4B49-BE83-B2D6B16BA259}"/>
    <cellStyle name="Currency 5 3 3 4 2 3" xfId="11850" xr:uid="{DB25BFF3-1EED-4FA6-8990-B8E57023FBE9}"/>
    <cellStyle name="Currency 5 3 3 4 3" xfId="5484" xr:uid="{00000000-0005-0000-0000-0000FD0C0000}"/>
    <cellStyle name="Currency 5 3 3 4 3 2" xfId="13923" xr:uid="{616C9C43-C8AD-447A-AF67-86B78E8EE45B}"/>
    <cellStyle name="Currency 5 3 3 4 4" xfId="9705" xr:uid="{E6AB539B-E404-4186-8ED1-D71B70851994}"/>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18BA6896-1D97-4CC4-AA6B-CE91611169CC}"/>
    <cellStyle name="Currency 5 3 3 5 2 3" xfId="12263" xr:uid="{0EB77049-2FB4-4670-98D6-A6CF373ABA0F}"/>
    <cellStyle name="Currency 5 3 3 5 3" xfId="5897" xr:uid="{00000000-0005-0000-0000-0000010D0000}"/>
    <cellStyle name="Currency 5 3 3 5 3 2" xfId="14336" xr:uid="{6F8A1791-8819-4407-8215-50E89375ED20}"/>
    <cellStyle name="Currency 5 3 3 5 4" xfId="10118" xr:uid="{F8F941B7-E848-4E48-9086-29C48D69293E}"/>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024E5278-2E1F-4374-98F7-B34ADFB0FACF}"/>
    <cellStyle name="Currency 5 3 3 6 2 3" xfId="12676" xr:uid="{0EE8BAD2-CD06-4648-8FBB-9F5300C98225}"/>
    <cellStyle name="Currency 5 3 3 6 3" xfId="6310" xr:uid="{00000000-0005-0000-0000-0000050D0000}"/>
    <cellStyle name="Currency 5 3 3 6 3 2" xfId="14749" xr:uid="{3529704F-9CEB-487A-9162-F2F4F626534C}"/>
    <cellStyle name="Currency 5 3 3 6 4" xfId="10531" xr:uid="{3DCF4A19-D0BA-4D9A-A12F-3C6C4DA4652A}"/>
    <cellStyle name="Currency 5 3 3 7" xfId="2438" xr:uid="{00000000-0005-0000-0000-0000060D0000}"/>
    <cellStyle name="Currency 5 3 3 7 2" xfId="6723" xr:uid="{00000000-0005-0000-0000-0000070D0000}"/>
    <cellStyle name="Currency 5 3 3 7 2 2" xfId="15162" xr:uid="{515AABB5-F06C-44F0-BE30-7985A1FFEFD9}"/>
    <cellStyle name="Currency 5 3 3 7 3" xfId="10944" xr:uid="{A4DB4D16-53A9-498F-AF37-12E1C85687E0}"/>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C63C162F-C60E-44CC-AD3E-EC954424192C}"/>
    <cellStyle name="Currency 5 3 3 9 3" xfId="11261" xr:uid="{6403F156-60D6-4309-8D73-E842AE4D82A0}"/>
    <cellStyle name="Currency 5 3 4" xfId="216" xr:uid="{00000000-0005-0000-0000-00000B0D0000}"/>
    <cellStyle name="Currency 5 3 4 10" xfId="8880" xr:uid="{0CE73133-6916-483B-A3B3-1A54E11A47EC}"/>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1F4091FC-EB43-4044-BF2F-6216987D096F}"/>
    <cellStyle name="Currency 5 3 4 2 2 3" xfId="11439" xr:uid="{B4BD2924-0386-42E3-A2B3-31C5ABB8D596}"/>
    <cellStyle name="Currency 5 3 4 2 3" xfId="5073" xr:uid="{00000000-0005-0000-0000-00000F0D0000}"/>
    <cellStyle name="Currency 5 3 4 2 3 2" xfId="13512" xr:uid="{48F450CD-48D9-4A2C-A57C-0C9185DE55EE}"/>
    <cellStyle name="Currency 5 3 4 2 4" xfId="9294" xr:uid="{C509E390-A865-4B60-BB48-E79D9532EA60}"/>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C5EB4AD3-2BD7-41E3-9FAE-311280796806}"/>
    <cellStyle name="Currency 5 3 4 3 2 3" xfId="11852" xr:uid="{FE0F0413-39BD-4371-B703-04321E9E1363}"/>
    <cellStyle name="Currency 5 3 4 3 3" xfId="5486" xr:uid="{00000000-0005-0000-0000-0000130D0000}"/>
    <cellStyle name="Currency 5 3 4 3 3 2" xfId="13925" xr:uid="{1B01F7C4-48F5-4501-952F-37E09B32988B}"/>
    <cellStyle name="Currency 5 3 4 3 4" xfId="9707" xr:uid="{AFDE6777-5EE2-4799-8BA7-9182412D4CF1}"/>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6AFBA719-EA0B-4730-9BCF-180F5B801A40}"/>
    <cellStyle name="Currency 5 3 4 4 2 3" xfId="12265" xr:uid="{2133FD7D-1133-40A0-A019-F5CCA66E757A}"/>
    <cellStyle name="Currency 5 3 4 4 3" xfId="5899" xr:uid="{00000000-0005-0000-0000-0000170D0000}"/>
    <cellStyle name="Currency 5 3 4 4 3 2" xfId="14338" xr:uid="{D2723403-FE77-4FC9-A019-38FD2F87FD06}"/>
    <cellStyle name="Currency 5 3 4 4 4" xfId="10120" xr:uid="{C53A2957-8CEE-42EF-B386-67BB34A85543}"/>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7BB9837D-808E-4CEF-A2A4-310D0DB55362}"/>
    <cellStyle name="Currency 5 3 4 5 2 3" xfId="12678" xr:uid="{CB7ADC2C-C85D-40B6-BEBF-13ECDB5303C2}"/>
    <cellStyle name="Currency 5 3 4 5 3" xfId="6312" xr:uid="{00000000-0005-0000-0000-00001B0D0000}"/>
    <cellStyle name="Currency 5 3 4 5 3 2" xfId="14751" xr:uid="{F53BDF3F-9BC1-44CB-92F6-2221D231D0E3}"/>
    <cellStyle name="Currency 5 3 4 5 4" xfId="10533" xr:uid="{EC6537EB-2588-4389-A899-CDA8FE0AA88D}"/>
    <cellStyle name="Currency 5 3 4 6" xfId="2440" xr:uid="{00000000-0005-0000-0000-00001C0D0000}"/>
    <cellStyle name="Currency 5 3 4 6 2" xfId="6725" xr:uid="{00000000-0005-0000-0000-00001D0D0000}"/>
    <cellStyle name="Currency 5 3 4 6 2 2" xfId="15164" xr:uid="{F8147667-839C-4F8A-899C-E333F9D3D6F3}"/>
    <cellStyle name="Currency 5 3 4 6 3" xfId="10946" xr:uid="{93251844-6B57-4DE2-B1BA-7287689F40FB}"/>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E626C752-A901-4E9F-AED6-8358E153EBDB}"/>
    <cellStyle name="Currency 5 3 4 8 3" xfId="11263" xr:uid="{A2123A0E-70D1-47C7-B274-36DFAA9511FA}"/>
    <cellStyle name="Currency 5 3 4 9" xfId="4659" xr:uid="{00000000-0005-0000-0000-0000210D0000}"/>
    <cellStyle name="Currency 5 3 4 9 2" xfId="13098" xr:uid="{384648F4-F5D4-4AFB-8DC2-30BDF5C2B6D8}"/>
    <cellStyle name="Currency 5 3 5" xfId="217" xr:uid="{00000000-0005-0000-0000-0000220D0000}"/>
    <cellStyle name="Currency 5 3 5 10" xfId="8881" xr:uid="{9715E8D5-51B7-4DE8-8422-B010AE8EE384}"/>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94FD6C07-E248-434F-9DCB-2E3B0070C394}"/>
    <cellStyle name="Currency 5 3 5 2 2 3" xfId="11440" xr:uid="{763A8E4C-25CD-41D4-8790-FE198D4BFCB5}"/>
    <cellStyle name="Currency 5 3 5 2 3" xfId="5074" xr:uid="{00000000-0005-0000-0000-0000260D0000}"/>
    <cellStyle name="Currency 5 3 5 2 3 2" xfId="13513" xr:uid="{8441EBDA-BC8D-4735-9F42-677908A3935E}"/>
    <cellStyle name="Currency 5 3 5 2 4" xfId="9295" xr:uid="{FB56C5CE-332F-4519-8038-CE8FFEE120C2}"/>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11637CAF-09D5-41C7-9438-04CCA6EB99F0}"/>
    <cellStyle name="Currency 5 3 5 3 2 3" xfId="11853" xr:uid="{9FCBC10D-2961-4C4B-9B27-75F4F7F41DE2}"/>
    <cellStyle name="Currency 5 3 5 3 3" xfId="5487" xr:uid="{00000000-0005-0000-0000-00002A0D0000}"/>
    <cellStyle name="Currency 5 3 5 3 3 2" xfId="13926" xr:uid="{FE844465-3A03-48AA-8EDF-6ED00E07A3FD}"/>
    <cellStyle name="Currency 5 3 5 3 4" xfId="9708" xr:uid="{59B53017-D8B9-4FA0-93A2-561EF5B12FFD}"/>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8B9A944A-5C21-47C0-BE62-C36DA94CC6A4}"/>
    <cellStyle name="Currency 5 3 5 4 2 3" xfId="12266" xr:uid="{9398E6AC-11C9-4999-9991-62AE44488233}"/>
    <cellStyle name="Currency 5 3 5 4 3" xfId="5900" xr:uid="{00000000-0005-0000-0000-00002E0D0000}"/>
    <cellStyle name="Currency 5 3 5 4 3 2" xfId="14339" xr:uid="{AB8A5B19-EF13-4066-B1EF-DE1F7352A0B1}"/>
    <cellStyle name="Currency 5 3 5 4 4" xfId="10121" xr:uid="{F99FCD0C-9246-41BA-BBFE-E53F6078ABB9}"/>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41E3BD12-74DA-4FA5-A761-4D3A6B870996}"/>
    <cellStyle name="Currency 5 3 5 5 2 3" xfId="12679" xr:uid="{D7AE5FA0-7F6A-4C2D-8123-9E64DB2AA6F3}"/>
    <cellStyle name="Currency 5 3 5 5 3" xfId="6313" xr:uid="{00000000-0005-0000-0000-0000320D0000}"/>
    <cellStyle name="Currency 5 3 5 5 3 2" xfId="14752" xr:uid="{F37EF321-AC33-48F7-B733-F1D609300E15}"/>
    <cellStyle name="Currency 5 3 5 5 4" xfId="10534" xr:uid="{1DB21D93-5FAE-46C0-80FA-2B706903F852}"/>
    <cellStyle name="Currency 5 3 5 6" xfId="2441" xr:uid="{00000000-0005-0000-0000-0000330D0000}"/>
    <cellStyle name="Currency 5 3 5 6 2" xfId="6726" xr:uid="{00000000-0005-0000-0000-0000340D0000}"/>
    <cellStyle name="Currency 5 3 5 6 2 2" xfId="15165" xr:uid="{0DFB5243-3AE8-48FE-9A9A-424F401741BD}"/>
    <cellStyle name="Currency 5 3 5 6 3" xfId="10947" xr:uid="{4AF140B4-099B-4DE1-8483-6797D02B4EEE}"/>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A28C4C87-6F3C-4C32-8595-06EA54FDCBCA}"/>
    <cellStyle name="Currency 5 3 5 8 3" xfId="11264" xr:uid="{76C99A23-A3E5-418F-8C38-725611806131}"/>
    <cellStyle name="Currency 5 3 5 9" xfId="4660" xr:uid="{00000000-0005-0000-0000-0000380D0000}"/>
    <cellStyle name="Currency 5 3 5 9 2" xfId="13099" xr:uid="{0C83342A-7CF6-4986-8ADD-61E6DAE2E623}"/>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47CA37F9-FA98-4FD6-AE63-46C403960A9E}"/>
    <cellStyle name="Currency 5 5 11" xfId="8882" xr:uid="{8A176418-6A66-4A0F-B70C-A71B0924D500}"/>
    <cellStyle name="Currency 5 5 2" xfId="220" xr:uid="{00000000-0005-0000-0000-00003D0D0000}"/>
    <cellStyle name="Currency 5 5 2 10" xfId="8883" xr:uid="{C02645A6-15D8-4F2D-AF6F-4A8CF5EEA118}"/>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A1CF6308-46C6-43D9-BA1C-B2CBE7CFDF52}"/>
    <cellStyle name="Currency 5 5 2 2 2 3" xfId="11442" xr:uid="{5DB0914A-26A1-4264-8518-FD2716AF08CE}"/>
    <cellStyle name="Currency 5 5 2 2 3" xfId="5076" xr:uid="{00000000-0005-0000-0000-0000410D0000}"/>
    <cellStyle name="Currency 5 5 2 2 3 2" xfId="13515" xr:uid="{290424F8-254A-4E32-BA02-10A0A65CC38E}"/>
    <cellStyle name="Currency 5 5 2 2 4" xfId="9297" xr:uid="{0D082477-88E4-4606-A6F9-C7C1A636C89F}"/>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9EB198A2-3A9A-497D-8168-A327FBFA7722}"/>
    <cellStyle name="Currency 5 5 2 3 2 3" xfId="11855" xr:uid="{CD26F2B4-7555-469D-B33A-0624708026AD}"/>
    <cellStyle name="Currency 5 5 2 3 3" xfId="5489" xr:uid="{00000000-0005-0000-0000-0000450D0000}"/>
    <cellStyle name="Currency 5 5 2 3 3 2" xfId="13928" xr:uid="{63130F25-8183-4822-A546-F72C9B20F58D}"/>
    <cellStyle name="Currency 5 5 2 3 4" xfId="9710" xr:uid="{306D9EB9-2F4F-4D9C-8112-6B040F4528E0}"/>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EE8C4180-EAB4-4B9A-A49C-75D8BD86223D}"/>
    <cellStyle name="Currency 5 5 2 4 2 3" xfId="12268" xr:uid="{917624C6-1FF9-4209-B063-3399CC13BF8F}"/>
    <cellStyle name="Currency 5 5 2 4 3" xfId="5902" xr:uid="{00000000-0005-0000-0000-0000490D0000}"/>
    <cellStyle name="Currency 5 5 2 4 3 2" xfId="14341" xr:uid="{E5ED845A-6946-4AC5-BEB3-C69964395866}"/>
    <cellStyle name="Currency 5 5 2 4 4" xfId="10123" xr:uid="{974C15A1-1157-4FA1-A3CE-CE6F2B6DCC3E}"/>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8CB9E28F-37E8-4CCA-B953-C41699988C4C}"/>
    <cellStyle name="Currency 5 5 2 5 2 3" xfId="12681" xr:uid="{EC7817D9-0D5E-4500-8990-D8BD8743A416}"/>
    <cellStyle name="Currency 5 5 2 5 3" xfId="6315" xr:uid="{00000000-0005-0000-0000-00004D0D0000}"/>
    <cellStyle name="Currency 5 5 2 5 3 2" xfId="14754" xr:uid="{04DA1A0C-C7E6-4C7C-902F-F95BFF3773AB}"/>
    <cellStyle name="Currency 5 5 2 5 4" xfId="10536" xr:uid="{7C0A8953-C52B-4B95-96C0-BBF72C8044B6}"/>
    <cellStyle name="Currency 5 5 2 6" xfId="2443" xr:uid="{00000000-0005-0000-0000-00004E0D0000}"/>
    <cellStyle name="Currency 5 5 2 6 2" xfId="6728" xr:uid="{00000000-0005-0000-0000-00004F0D0000}"/>
    <cellStyle name="Currency 5 5 2 6 2 2" xfId="15167" xr:uid="{DAFEE82C-FF99-48F0-A577-82DBC58D27F1}"/>
    <cellStyle name="Currency 5 5 2 6 3" xfId="10949" xr:uid="{BD128E07-BAD7-41BC-AAF1-54091DC8E288}"/>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63D67EA7-C5E7-476D-BD17-10B48828C2AA}"/>
    <cellStyle name="Currency 5 5 2 8 3" xfId="11266" xr:uid="{51320B22-C537-42C5-816B-FEE081A35647}"/>
    <cellStyle name="Currency 5 5 2 9" xfId="4662" xr:uid="{00000000-0005-0000-0000-0000530D0000}"/>
    <cellStyle name="Currency 5 5 2 9 2" xfId="13101" xr:uid="{CF456C51-A43F-41D1-9457-DB4EEFBD1601}"/>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453083E3-9772-46E9-BF63-5BD931D674EF}"/>
    <cellStyle name="Currency 5 5 3 2 3" xfId="11441" xr:uid="{AE05C87D-500E-4314-BDA9-CBE9D0D0B49A}"/>
    <cellStyle name="Currency 5 5 3 3" xfId="5075" xr:uid="{00000000-0005-0000-0000-0000570D0000}"/>
    <cellStyle name="Currency 5 5 3 3 2" xfId="13514" xr:uid="{5AA22273-8BEA-42FF-B95F-FC3D9AEFB46C}"/>
    <cellStyle name="Currency 5 5 3 4" xfId="9296" xr:uid="{7429785D-DF18-45B2-962A-46CD4586BB58}"/>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C6615773-862C-4378-A7DD-B788060FE536}"/>
    <cellStyle name="Currency 5 5 4 2 3" xfId="11854" xr:uid="{5772F7CD-F5E1-4969-9E69-1AD9CCBEEEB7}"/>
    <cellStyle name="Currency 5 5 4 3" xfId="5488" xr:uid="{00000000-0005-0000-0000-00005B0D0000}"/>
    <cellStyle name="Currency 5 5 4 3 2" xfId="13927" xr:uid="{BCA4B9EB-2D5E-4066-A0D7-8AC764BA78A2}"/>
    <cellStyle name="Currency 5 5 4 4" xfId="9709" xr:uid="{4AB156FC-E1FF-4158-A8D7-909738C29E54}"/>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23616075-63B8-457B-AB51-F2E15E50D4C4}"/>
    <cellStyle name="Currency 5 5 5 2 3" xfId="12267" xr:uid="{B6EB6380-0632-44E4-B0C0-6E078402E03A}"/>
    <cellStyle name="Currency 5 5 5 3" xfId="5901" xr:uid="{00000000-0005-0000-0000-00005F0D0000}"/>
    <cellStyle name="Currency 5 5 5 3 2" xfId="14340" xr:uid="{D62CC756-3B22-4494-B5A1-104AAE2E607A}"/>
    <cellStyle name="Currency 5 5 5 4" xfId="10122" xr:uid="{DB38F4A7-E685-4E90-BCEE-A7F0B69FEE0B}"/>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F58588E3-616F-4E70-8D8E-8DCA51B140A8}"/>
    <cellStyle name="Currency 5 5 6 2 3" xfId="12680" xr:uid="{94F6ADB1-F1E4-4ED4-961A-A974495E6475}"/>
    <cellStyle name="Currency 5 5 6 3" xfId="6314" xr:uid="{00000000-0005-0000-0000-0000630D0000}"/>
    <cellStyle name="Currency 5 5 6 3 2" xfId="14753" xr:uid="{343015F4-95E2-40F8-8F6A-42BA319A8EF7}"/>
    <cellStyle name="Currency 5 5 6 4" xfId="10535" xr:uid="{29BE4788-8AF7-4E79-91D0-EF5B4B69968A}"/>
    <cellStyle name="Currency 5 5 7" xfId="2442" xr:uid="{00000000-0005-0000-0000-0000640D0000}"/>
    <cellStyle name="Currency 5 5 7 2" xfId="6727" xr:uid="{00000000-0005-0000-0000-0000650D0000}"/>
    <cellStyle name="Currency 5 5 7 2 2" xfId="15166" xr:uid="{3A585A2C-56CB-49B1-AD12-5F0B908457DB}"/>
    <cellStyle name="Currency 5 5 7 3" xfId="10948" xr:uid="{B09C53BD-A322-4B21-BC2B-9259DCCD844A}"/>
    <cellStyle name="Currency 5 5 8" xfId="2739" xr:uid="{00000000-0005-0000-0000-0000660D0000}"/>
    <cellStyle name="Currency 5 5 9" xfId="2820" xr:uid="{00000000-0005-0000-0000-0000670D0000}"/>
    <cellStyle name="Currency 5 5 9 2" xfId="7044" xr:uid="{00000000-0005-0000-0000-0000680D0000}"/>
    <cellStyle name="Currency 5 5 9 2 2" xfId="15483" xr:uid="{13A813F9-7E05-4794-8524-9E4484D4DE82}"/>
    <cellStyle name="Currency 5 5 9 3" xfId="11265" xr:uid="{2D9B696E-267E-4FCA-B726-0A8C587FE7FA}"/>
    <cellStyle name="Currency 5 6" xfId="221" xr:uid="{00000000-0005-0000-0000-0000690D0000}"/>
    <cellStyle name="Currency 5 6 10" xfId="8884" xr:uid="{CC7B141C-6499-419D-8172-F0D73D71028C}"/>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39C76529-618F-4F77-AF01-0F108A8BE78B}"/>
    <cellStyle name="Currency 5 6 2 2 3" xfId="11443" xr:uid="{157813F9-FA03-4094-86B0-EF24BC95BB9C}"/>
    <cellStyle name="Currency 5 6 2 3" xfId="5077" xr:uid="{00000000-0005-0000-0000-00006D0D0000}"/>
    <cellStyle name="Currency 5 6 2 3 2" xfId="13516" xr:uid="{33CB01F1-EB1D-410D-9A1A-8C4143AFBFF6}"/>
    <cellStyle name="Currency 5 6 2 4" xfId="9298" xr:uid="{A658BB65-09D4-4D16-A918-155270830785}"/>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0438941A-6233-49F4-86CA-9E32AD8E6289}"/>
    <cellStyle name="Currency 5 6 3 2 3" xfId="11856" xr:uid="{5946A186-6AE2-482B-BBF2-DC923FCA9714}"/>
    <cellStyle name="Currency 5 6 3 3" xfId="5490" xr:uid="{00000000-0005-0000-0000-0000710D0000}"/>
    <cellStyle name="Currency 5 6 3 3 2" xfId="13929" xr:uid="{523BCBC8-5980-4E97-A0BA-4DD1EC5E2A7E}"/>
    <cellStyle name="Currency 5 6 3 4" xfId="9711" xr:uid="{517D03D7-674E-4EA9-98AE-621A1F581CD2}"/>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B3A923A3-8408-436A-B1D4-049716146777}"/>
    <cellStyle name="Currency 5 6 4 2 3" xfId="12269" xr:uid="{F964EC1D-1963-4E28-88DC-8188D8E9DF3A}"/>
    <cellStyle name="Currency 5 6 4 3" xfId="5903" xr:uid="{00000000-0005-0000-0000-0000750D0000}"/>
    <cellStyle name="Currency 5 6 4 3 2" xfId="14342" xr:uid="{2416D414-9C4F-4BB4-AED0-028D6C750581}"/>
    <cellStyle name="Currency 5 6 4 4" xfId="10124" xr:uid="{9F0AA870-1931-4EEF-B56F-BEDCD15A9FE7}"/>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0F0036B9-1218-4CDB-B82E-8EAB250EE627}"/>
    <cellStyle name="Currency 5 6 5 2 3" xfId="12682" xr:uid="{F0638546-44B5-4717-9871-F56F926C339D}"/>
    <cellStyle name="Currency 5 6 5 3" xfId="6316" xr:uid="{00000000-0005-0000-0000-0000790D0000}"/>
    <cellStyle name="Currency 5 6 5 3 2" xfId="14755" xr:uid="{A4716626-67A2-4F91-8AAF-6B0580D9C065}"/>
    <cellStyle name="Currency 5 6 5 4" xfId="10537" xr:uid="{EE5614AF-D66E-4456-8AED-8B1CEC7794F7}"/>
    <cellStyle name="Currency 5 6 6" xfId="2444" xr:uid="{00000000-0005-0000-0000-00007A0D0000}"/>
    <cellStyle name="Currency 5 6 6 2" xfId="6729" xr:uid="{00000000-0005-0000-0000-00007B0D0000}"/>
    <cellStyle name="Currency 5 6 6 2 2" xfId="15168" xr:uid="{14E83810-4AFC-4447-AD4F-D5E3EB98D19B}"/>
    <cellStyle name="Currency 5 6 6 3" xfId="10950" xr:uid="{90B31654-FACD-476E-B868-A38E040D25CA}"/>
    <cellStyle name="Currency 5 6 7" xfId="2741" xr:uid="{00000000-0005-0000-0000-00007C0D0000}"/>
    <cellStyle name="Currency 5 6 8" xfId="2822" xr:uid="{00000000-0005-0000-0000-00007D0D0000}"/>
    <cellStyle name="Currency 5 6 8 2" xfId="7046" xr:uid="{00000000-0005-0000-0000-00007E0D0000}"/>
    <cellStyle name="Currency 5 6 8 2 2" xfId="15485" xr:uid="{34301D9D-7CFB-43F7-8D5B-434AC83A9D74}"/>
    <cellStyle name="Currency 5 6 8 3" xfId="11267" xr:uid="{9E857BA9-EE8A-468B-80AE-2366CC8E3728}"/>
    <cellStyle name="Currency 5 6 9" xfId="4663" xr:uid="{00000000-0005-0000-0000-00007F0D0000}"/>
    <cellStyle name="Currency 5 6 9 2" xfId="13102" xr:uid="{8C319899-734C-4B20-BE7A-269B78EC124B}"/>
    <cellStyle name="Currency 5 7" xfId="222" xr:uid="{00000000-0005-0000-0000-0000800D0000}"/>
    <cellStyle name="Currency 5 7 10" xfId="8885" xr:uid="{C5451F98-BAA2-48DE-9292-F60B63A74FF5}"/>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5C91EEB4-846F-4E1C-8A11-3F49F97436D3}"/>
    <cellStyle name="Currency 5 7 2 2 3" xfId="11444" xr:uid="{149DBC0D-8B79-4575-84E7-FBC8853BF677}"/>
    <cellStyle name="Currency 5 7 2 3" xfId="5078" xr:uid="{00000000-0005-0000-0000-0000840D0000}"/>
    <cellStyle name="Currency 5 7 2 3 2" xfId="13517" xr:uid="{ECDBF8F2-8481-4B35-911E-6654CF0FEBE1}"/>
    <cellStyle name="Currency 5 7 2 4" xfId="9299" xr:uid="{1DC4BAC7-DFE7-46D0-A275-0266350BFE2F}"/>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EBBECCB5-9BA2-43A0-83A6-CC0547238827}"/>
    <cellStyle name="Currency 5 7 3 2 3" xfId="11857" xr:uid="{16FE832B-06AA-41E0-9BE2-197C2F65A6C3}"/>
    <cellStyle name="Currency 5 7 3 3" xfId="5491" xr:uid="{00000000-0005-0000-0000-0000880D0000}"/>
    <cellStyle name="Currency 5 7 3 3 2" xfId="13930" xr:uid="{36AF59CE-4A6B-4CE5-ACDC-B99709CB8D43}"/>
    <cellStyle name="Currency 5 7 3 4" xfId="9712" xr:uid="{B1841FB1-46E0-4F42-8E29-B3268BFF609E}"/>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C5EEAF6A-616B-4E27-95B4-08D0A7A08445}"/>
    <cellStyle name="Currency 5 7 4 2 3" xfId="12270" xr:uid="{4CFB11F4-4227-47AB-B7D2-180C46EB3EF0}"/>
    <cellStyle name="Currency 5 7 4 3" xfId="5904" xr:uid="{00000000-0005-0000-0000-00008C0D0000}"/>
    <cellStyle name="Currency 5 7 4 3 2" xfId="14343" xr:uid="{ECCC5488-22A2-462B-B787-DB9A4FB795E0}"/>
    <cellStyle name="Currency 5 7 4 4" xfId="10125" xr:uid="{AAA65C04-FC16-4E15-88AE-9409FB0762B8}"/>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97364FFD-D445-4054-8C21-321755E1855F}"/>
    <cellStyle name="Currency 5 7 5 2 3" xfId="12683" xr:uid="{2938154A-DE7A-4AE8-AF32-871035DD2C34}"/>
    <cellStyle name="Currency 5 7 5 3" xfId="6317" xr:uid="{00000000-0005-0000-0000-0000900D0000}"/>
    <cellStyle name="Currency 5 7 5 3 2" xfId="14756" xr:uid="{CF96426B-EF87-445C-BBC7-C5ABF81EBDB3}"/>
    <cellStyle name="Currency 5 7 5 4" xfId="10538" xr:uid="{0A33CA33-A865-4F51-8476-420C4DF0D428}"/>
    <cellStyle name="Currency 5 7 6" xfId="2445" xr:uid="{00000000-0005-0000-0000-0000910D0000}"/>
    <cellStyle name="Currency 5 7 6 2" xfId="6730" xr:uid="{00000000-0005-0000-0000-0000920D0000}"/>
    <cellStyle name="Currency 5 7 6 2 2" xfId="15169" xr:uid="{1EFD7C2E-1BD4-43D8-9BB8-A07FFFA28C78}"/>
    <cellStyle name="Currency 5 7 6 3" xfId="10951" xr:uid="{D3115E29-6610-47C5-8FE1-D1C14544229F}"/>
    <cellStyle name="Currency 5 7 7" xfId="2742" xr:uid="{00000000-0005-0000-0000-0000930D0000}"/>
    <cellStyle name="Currency 5 7 8" xfId="2823" xr:uid="{00000000-0005-0000-0000-0000940D0000}"/>
    <cellStyle name="Currency 5 7 8 2" xfId="7047" xr:uid="{00000000-0005-0000-0000-0000950D0000}"/>
    <cellStyle name="Currency 5 7 8 2 2" xfId="15486" xr:uid="{E8F00A0F-B4C8-4B0F-8A0F-8AFFB1110EC7}"/>
    <cellStyle name="Currency 5 7 8 3" xfId="11268" xr:uid="{EFF1CC9E-48A5-4CE2-B700-559C5948D07C}"/>
    <cellStyle name="Currency 5 7 9" xfId="4664" xr:uid="{00000000-0005-0000-0000-0000960D0000}"/>
    <cellStyle name="Currency 5 7 9 2" xfId="13103" xr:uid="{3F6BB38D-71DD-4A4B-817A-C8F1A500EEA3}"/>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DC6E0391-3091-4631-8BCC-5131F98216EC}"/>
    <cellStyle name="Normal 12 10 3" xfId="10952" xr:uid="{3E02AE50-F0C0-4CB5-AA79-6511DEB4F1E2}"/>
    <cellStyle name="Normal 12 11" xfId="4665" xr:uid="{00000000-0005-0000-0000-0000CC0D0000}"/>
    <cellStyle name="Normal 12 11 2" xfId="13104" xr:uid="{CC5CD646-D3FD-4AEB-93EF-34D2F208E055}"/>
    <cellStyle name="Normal 12 12" xfId="8886" xr:uid="{149BB1DC-192E-4129-A14E-A918E7B4DBC8}"/>
    <cellStyle name="Normal 12 2" xfId="260" xr:uid="{00000000-0005-0000-0000-0000CD0D0000}"/>
    <cellStyle name="Normal 12 2 10" xfId="8887" xr:uid="{143654A4-69D6-49DA-86A9-6BB245D8395E}"/>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0FA634B1-B92C-4EAD-B804-62AA63A55345}"/>
    <cellStyle name="Normal 12 2 2 2 2 2 3" xfId="11448" xr:uid="{BB2C6F7C-45B1-415F-B00F-8534EA20BE44}"/>
    <cellStyle name="Normal 12 2 2 2 2 3" xfId="5082" xr:uid="{00000000-0005-0000-0000-0000D30D0000}"/>
    <cellStyle name="Normal 12 2 2 2 2 3 2" xfId="13521" xr:uid="{F2609760-59E3-43A1-BF9E-9992B5571581}"/>
    <cellStyle name="Normal 12 2 2 2 2 4" xfId="9303" xr:uid="{75F732B1-37A5-40F4-BDB6-E6BB948D6A61}"/>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EFB77128-D1DC-4D67-A486-B098B71A0FC3}"/>
    <cellStyle name="Normal 12 2 2 2 3 2 3" xfId="11861" xr:uid="{C30E286B-3939-4BA2-9159-58EF4F82BFC9}"/>
    <cellStyle name="Normal 12 2 2 2 3 3" xfId="5495" xr:uid="{00000000-0005-0000-0000-0000D70D0000}"/>
    <cellStyle name="Normal 12 2 2 2 3 3 2" xfId="13934" xr:uid="{573A36B6-C402-48C7-8167-CE17CDD16B2D}"/>
    <cellStyle name="Normal 12 2 2 2 3 4" xfId="9716" xr:uid="{CD7DD408-9B8E-4414-B625-F733EE0192D5}"/>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F4105B4C-F364-4015-803C-EC6223990D60}"/>
    <cellStyle name="Normal 12 2 2 2 4 2 3" xfId="12274" xr:uid="{9006FE0B-4569-4453-8ACD-829C8D09BB8F}"/>
    <cellStyle name="Normal 12 2 2 2 4 3" xfId="5908" xr:uid="{00000000-0005-0000-0000-0000DB0D0000}"/>
    <cellStyle name="Normal 12 2 2 2 4 3 2" xfId="14347" xr:uid="{21647A8B-9111-4075-9320-7EE91B9C9781}"/>
    <cellStyle name="Normal 12 2 2 2 4 4" xfId="10129" xr:uid="{1177CA99-2D6C-42A1-8F61-4659E4C49E95}"/>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31900258-D5E4-43CB-8CBA-9F8D7DD23D16}"/>
    <cellStyle name="Normal 12 2 2 2 5 2 3" xfId="12687" xr:uid="{C87A525D-B914-4D8B-9DCE-C7219F50AD52}"/>
    <cellStyle name="Normal 12 2 2 2 5 3" xfId="6321" xr:uid="{00000000-0005-0000-0000-0000DF0D0000}"/>
    <cellStyle name="Normal 12 2 2 2 5 3 2" xfId="14760" xr:uid="{D7B787AA-DE8C-41FF-A4AB-9311007BC92D}"/>
    <cellStyle name="Normal 12 2 2 2 5 4" xfId="10542" xr:uid="{A4F1AFEB-F3CF-480E-9558-558F88E0B35B}"/>
    <cellStyle name="Normal 12 2 2 2 6" xfId="2450" xr:uid="{00000000-0005-0000-0000-0000E00D0000}"/>
    <cellStyle name="Normal 12 2 2 2 6 2" xfId="6734" xr:uid="{00000000-0005-0000-0000-0000E10D0000}"/>
    <cellStyle name="Normal 12 2 2 2 6 2 2" xfId="15173" xr:uid="{2375DD7E-97FE-4859-831B-26C16FFBE397}"/>
    <cellStyle name="Normal 12 2 2 2 6 3" xfId="10955" xr:uid="{A994A34E-2C9A-47C0-84DE-8CD2C7C846D5}"/>
    <cellStyle name="Normal 12 2 2 2 7" xfId="4668" xr:uid="{00000000-0005-0000-0000-0000E20D0000}"/>
    <cellStyle name="Normal 12 2 2 2 7 2" xfId="13107" xr:uid="{13743EAF-2532-4F4E-A2B3-5DA90439DB1F}"/>
    <cellStyle name="Normal 12 2 2 2 8" xfId="8889" xr:uid="{AC6A4E08-45FE-4B6D-9147-DF570858BA0A}"/>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A95137C5-894D-482E-9AC6-2E6F423EFFED}"/>
    <cellStyle name="Normal 12 2 2 3 2 3" xfId="11447" xr:uid="{0429B4E4-FF9A-4573-A262-387D21D0B8A9}"/>
    <cellStyle name="Normal 12 2 2 3 3" xfId="5081" xr:uid="{00000000-0005-0000-0000-0000E60D0000}"/>
    <cellStyle name="Normal 12 2 2 3 3 2" xfId="13520" xr:uid="{6AA9CEDC-21C4-478A-8B22-DBD19804A1C6}"/>
    <cellStyle name="Normal 12 2 2 3 4" xfId="9302" xr:uid="{54DC5957-468A-45AF-A479-052AB12F5B8B}"/>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349566EA-455C-4FD7-969D-E40579FF0393}"/>
    <cellStyle name="Normal 12 2 2 4 2 3" xfId="11860" xr:uid="{03E8CFF0-CC17-419A-BC5F-2A8E99F303ED}"/>
    <cellStyle name="Normal 12 2 2 4 3" xfId="5494" xr:uid="{00000000-0005-0000-0000-0000EA0D0000}"/>
    <cellStyle name="Normal 12 2 2 4 3 2" xfId="13933" xr:uid="{850528F2-B6CC-4BB2-98F0-BCE18B13E345}"/>
    <cellStyle name="Normal 12 2 2 4 4" xfId="9715" xr:uid="{377F6304-377B-48E7-9510-D912509D0C09}"/>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59310B15-44E3-45C4-A56B-C830E50F171C}"/>
    <cellStyle name="Normal 12 2 2 5 2 3" xfId="12273" xr:uid="{FB3FEF02-A2F7-4A9B-819B-62222C058555}"/>
    <cellStyle name="Normal 12 2 2 5 3" xfId="5907" xr:uid="{00000000-0005-0000-0000-0000EE0D0000}"/>
    <cellStyle name="Normal 12 2 2 5 3 2" xfId="14346" xr:uid="{5D0939B6-CBA1-42CA-8BF5-87C41931EBC0}"/>
    <cellStyle name="Normal 12 2 2 5 4" xfId="10128" xr:uid="{3731C5B9-70A4-46B7-B8E9-DA9C2E12E98F}"/>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D2C51A12-1155-4DE8-A2F5-ACF8EB103AC3}"/>
    <cellStyle name="Normal 12 2 2 6 2 3" xfId="12686" xr:uid="{DD5AC8A6-B198-4873-947C-7314A2338AB4}"/>
    <cellStyle name="Normal 12 2 2 6 3" xfId="6320" xr:uid="{00000000-0005-0000-0000-0000F20D0000}"/>
    <cellStyle name="Normal 12 2 2 6 3 2" xfId="14759" xr:uid="{B27C8137-734F-4289-B049-0CC1D1546EFE}"/>
    <cellStyle name="Normal 12 2 2 6 4" xfId="10541" xr:uid="{BEFDAB78-3B2D-4B1D-8B06-B330BA967A78}"/>
    <cellStyle name="Normal 12 2 2 7" xfId="2449" xr:uid="{00000000-0005-0000-0000-0000F30D0000}"/>
    <cellStyle name="Normal 12 2 2 7 2" xfId="6733" xr:uid="{00000000-0005-0000-0000-0000F40D0000}"/>
    <cellStyle name="Normal 12 2 2 7 2 2" xfId="15172" xr:uid="{BE368C4F-7AB7-4D91-ABB0-45B9BD5BB25F}"/>
    <cellStyle name="Normal 12 2 2 7 3" xfId="10954" xr:uid="{5371C3EC-0428-4395-BA81-D71E6C0720C3}"/>
    <cellStyle name="Normal 12 2 2 8" xfId="4667" xr:uid="{00000000-0005-0000-0000-0000F50D0000}"/>
    <cellStyle name="Normal 12 2 2 8 2" xfId="13106" xr:uid="{C07F2D9E-F616-497D-A033-C3017E548C91}"/>
    <cellStyle name="Normal 12 2 2 9" xfId="8888" xr:uid="{153F84B9-1F92-4BFE-B318-4A0A073A4F89}"/>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28ABD9C4-D251-41A0-A55B-CBE4AB465E4B}"/>
    <cellStyle name="Normal 12 2 3 2 2 3" xfId="11449" xr:uid="{85737C18-4917-4811-B567-F5EC9D429B57}"/>
    <cellStyle name="Normal 12 2 3 2 3" xfId="5083" xr:uid="{00000000-0005-0000-0000-0000FA0D0000}"/>
    <cellStyle name="Normal 12 2 3 2 3 2" xfId="13522" xr:uid="{A2C4E13D-2333-471F-9BCB-0E581593955B}"/>
    <cellStyle name="Normal 12 2 3 2 4" xfId="9304" xr:uid="{12A19F03-6C44-4DB2-A9B3-3853787AC460}"/>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0F9F6084-C548-488C-823A-15C385E15292}"/>
    <cellStyle name="Normal 12 2 3 3 2 3" xfId="11862" xr:uid="{DF7EAA6A-D772-42D7-B08D-27D14C419A36}"/>
    <cellStyle name="Normal 12 2 3 3 3" xfId="5496" xr:uid="{00000000-0005-0000-0000-0000FE0D0000}"/>
    <cellStyle name="Normal 12 2 3 3 3 2" xfId="13935" xr:uid="{DD758674-4AF2-4C1E-85BE-E64173BA018D}"/>
    <cellStyle name="Normal 12 2 3 3 4" xfId="9717" xr:uid="{0099F849-BC19-41C9-8871-203A3C1A0285}"/>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64BBE38D-78F5-4CC9-99FB-81F4486FA01C}"/>
    <cellStyle name="Normal 12 2 3 4 2 3" xfId="12275" xr:uid="{3907D5C9-982B-4910-B2A7-B87C25ACA156}"/>
    <cellStyle name="Normal 12 2 3 4 3" xfId="5909" xr:uid="{00000000-0005-0000-0000-0000020E0000}"/>
    <cellStyle name="Normal 12 2 3 4 3 2" xfId="14348" xr:uid="{1E010FE2-06F3-45B0-AFDE-8259B79134E6}"/>
    <cellStyle name="Normal 12 2 3 4 4" xfId="10130" xr:uid="{A059A235-6006-461F-BE41-9A216E411C0A}"/>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5B4E9678-BCF7-48CC-82D7-AD74D24286D5}"/>
    <cellStyle name="Normal 12 2 3 5 2 3" xfId="12688" xr:uid="{0DAAA135-6F18-4C47-ADF0-A4207EDC82A1}"/>
    <cellStyle name="Normal 12 2 3 5 3" xfId="6322" xr:uid="{00000000-0005-0000-0000-0000060E0000}"/>
    <cellStyle name="Normal 12 2 3 5 3 2" xfId="14761" xr:uid="{A0450CC3-5A9A-4462-923C-A239B7FCCD69}"/>
    <cellStyle name="Normal 12 2 3 5 4" xfId="10543" xr:uid="{BB748FF3-3383-430D-AD5F-8D3A0363246E}"/>
    <cellStyle name="Normal 12 2 3 6" xfId="2451" xr:uid="{00000000-0005-0000-0000-0000070E0000}"/>
    <cellStyle name="Normal 12 2 3 6 2" xfId="6735" xr:uid="{00000000-0005-0000-0000-0000080E0000}"/>
    <cellStyle name="Normal 12 2 3 6 2 2" xfId="15174" xr:uid="{FCE2F6BD-4229-4B02-BA1F-FA6BA5B6B958}"/>
    <cellStyle name="Normal 12 2 3 6 3" xfId="10956" xr:uid="{CB67A89A-E457-4B69-B3A5-ACA1BD10E8B9}"/>
    <cellStyle name="Normal 12 2 3 7" xfId="4669" xr:uid="{00000000-0005-0000-0000-0000090E0000}"/>
    <cellStyle name="Normal 12 2 3 7 2" xfId="13108" xr:uid="{AD94E1C8-D12A-4A2F-86DD-BB0D15930E2B}"/>
    <cellStyle name="Normal 12 2 3 8" xfId="8890" xr:uid="{639BF66A-ED29-4923-B53D-51090140E056}"/>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FF48D10B-B589-4341-B242-2BA0B85F7235}"/>
    <cellStyle name="Normal 12 2 4 2 3" xfId="11446" xr:uid="{19B0773E-C8CC-46E2-A225-4DE48544730B}"/>
    <cellStyle name="Normal 12 2 4 3" xfId="5080" xr:uid="{00000000-0005-0000-0000-00000D0E0000}"/>
    <cellStyle name="Normal 12 2 4 3 2" xfId="13519" xr:uid="{DC833A36-CA00-4837-B5CA-32A8BA8F3A57}"/>
    <cellStyle name="Normal 12 2 4 4" xfId="9301" xr:uid="{4580C771-4CF3-43D8-8512-EB056F3D2417}"/>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635C4A75-4117-4AA5-9398-D4E1C776CAC3}"/>
    <cellStyle name="Normal 12 2 5 2 3" xfId="11859" xr:uid="{3BD4E325-2F4A-4654-B650-DB5143758567}"/>
    <cellStyle name="Normal 12 2 5 3" xfId="5493" xr:uid="{00000000-0005-0000-0000-0000110E0000}"/>
    <cellStyle name="Normal 12 2 5 3 2" xfId="13932" xr:uid="{8E069246-F12C-4905-9F6A-B54E2E695E32}"/>
    <cellStyle name="Normal 12 2 5 4" xfId="9714" xr:uid="{99B75440-D3FB-4B92-A50C-CD446E90DB1A}"/>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179E00E9-7538-4710-9B5B-ECB8F31CA921}"/>
    <cellStyle name="Normal 12 2 6 2 3" xfId="12272" xr:uid="{4D74BBE6-9DAD-4A16-BE76-8365DBF0C4F6}"/>
    <cellStyle name="Normal 12 2 6 3" xfId="5906" xr:uid="{00000000-0005-0000-0000-0000150E0000}"/>
    <cellStyle name="Normal 12 2 6 3 2" xfId="14345" xr:uid="{8AE52AF1-AB96-48C9-AF8E-9D29F977D633}"/>
    <cellStyle name="Normal 12 2 6 4" xfId="10127" xr:uid="{CD37A1C7-BBF9-44D9-BA20-9DA8BDF8DBDE}"/>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EF41980B-4ED5-4D0A-A2D6-66EFAB61C700}"/>
    <cellStyle name="Normal 12 2 7 2 3" xfId="12685" xr:uid="{E3F5A0A5-D8C7-4362-B582-C795B5FEB001}"/>
    <cellStyle name="Normal 12 2 7 3" xfId="6319" xr:uid="{00000000-0005-0000-0000-0000190E0000}"/>
    <cellStyle name="Normal 12 2 7 3 2" xfId="14758" xr:uid="{FB861F5C-A7E6-4B54-98E0-4ED700C143AC}"/>
    <cellStyle name="Normal 12 2 7 4" xfId="10540" xr:uid="{DA402F25-0913-4DB1-9D7F-5B3109DDF90F}"/>
    <cellStyle name="Normal 12 2 8" xfId="2448" xr:uid="{00000000-0005-0000-0000-00001A0E0000}"/>
    <cellStyle name="Normal 12 2 8 2" xfId="6732" xr:uid="{00000000-0005-0000-0000-00001B0E0000}"/>
    <cellStyle name="Normal 12 2 8 2 2" xfId="15171" xr:uid="{A443A0D9-6F6A-45DE-A6AD-0AD44DCAE8A9}"/>
    <cellStyle name="Normal 12 2 8 3" xfId="10953" xr:uid="{DDBA4393-49A6-47B1-A8E9-244C6A417524}"/>
    <cellStyle name="Normal 12 2 9" xfId="4666" xr:uid="{00000000-0005-0000-0000-00001C0E0000}"/>
    <cellStyle name="Normal 12 2 9 2" xfId="13105" xr:uid="{B30580FE-E8E4-4CCC-9030-FA982397344F}"/>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7AB7481D-A232-4367-B72A-9FFB26606943}"/>
    <cellStyle name="Normal 12 3 2 2 2 3" xfId="11451" xr:uid="{1FF473AB-8B9A-4844-A7E8-D4BE5A0594B5}"/>
    <cellStyle name="Normal 12 3 2 2 3" xfId="5085" xr:uid="{00000000-0005-0000-0000-0000220E0000}"/>
    <cellStyle name="Normal 12 3 2 2 3 2" xfId="13524" xr:uid="{ACDF84B2-B658-4A80-8675-5ED2433D3B15}"/>
    <cellStyle name="Normal 12 3 2 2 4" xfId="9306" xr:uid="{E0A9B932-A049-4041-9C8F-0F6FC2DBF019}"/>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ADC42BBE-DC38-415F-8D9D-0C178CDC5CBB}"/>
    <cellStyle name="Normal 12 3 2 3 2 3" xfId="11864" xr:uid="{BD10D968-FD51-4A79-B509-880ED97B66FB}"/>
    <cellStyle name="Normal 12 3 2 3 3" xfId="5498" xr:uid="{00000000-0005-0000-0000-0000260E0000}"/>
    <cellStyle name="Normal 12 3 2 3 3 2" xfId="13937" xr:uid="{1AED8799-7228-41FD-9737-5AAD7D153CBA}"/>
    <cellStyle name="Normal 12 3 2 3 4" xfId="9719" xr:uid="{9F90D5F5-2A3A-413A-B434-44EFCAC69177}"/>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94D6704D-11D5-4046-9459-7EB3EB05CA85}"/>
    <cellStyle name="Normal 12 3 2 4 2 3" xfId="12277" xr:uid="{5153C0F7-6082-472C-A9F5-BEAB3F886DC9}"/>
    <cellStyle name="Normal 12 3 2 4 3" xfId="5911" xr:uid="{00000000-0005-0000-0000-00002A0E0000}"/>
    <cellStyle name="Normal 12 3 2 4 3 2" xfId="14350" xr:uid="{1E6D4ADD-06BE-4E55-A60A-E6BB270BD573}"/>
    <cellStyle name="Normal 12 3 2 4 4" xfId="10132" xr:uid="{24F7CF52-AE7F-4821-A1A4-B7E5E85B4E7C}"/>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FB246095-4FAB-47D4-8B3E-DAF2D01F2153}"/>
    <cellStyle name="Normal 12 3 2 5 2 3" xfId="12690" xr:uid="{EB9A9B93-F031-4CAD-B510-E98D05D9914B}"/>
    <cellStyle name="Normal 12 3 2 5 3" xfId="6324" xr:uid="{00000000-0005-0000-0000-00002E0E0000}"/>
    <cellStyle name="Normal 12 3 2 5 3 2" xfId="14763" xr:uid="{832A5E5B-6663-4931-BAC3-AD214A858332}"/>
    <cellStyle name="Normal 12 3 2 5 4" xfId="10545" xr:uid="{8D6F3268-0DD1-4919-8678-6D5EEA7C71EA}"/>
    <cellStyle name="Normal 12 3 2 6" xfId="2453" xr:uid="{00000000-0005-0000-0000-00002F0E0000}"/>
    <cellStyle name="Normal 12 3 2 6 2" xfId="6737" xr:uid="{00000000-0005-0000-0000-0000300E0000}"/>
    <cellStyle name="Normal 12 3 2 6 2 2" xfId="15176" xr:uid="{E3733DE1-ADDD-4E8D-B9DC-ED08DA8C9F73}"/>
    <cellStyle name="Normal 12 3 2 6 3" xfId="10958" xr:uid="{300D0050-9664-49B9-8B52-D5B0CC341928}"/>
    <cellStyle name="Normal 12 3 2 7" xfId="4671" xr:uid="{00000000-0005-0000-0000-0000310E0000}"/>
    <cellStyle name="Normal 12 3 2 7 2" xfId="13110" xr:uid="{0D8A12EC-622E-48F8-B9C8-A9A60108A932}"/>
    <cellStyle name="Normal 12 3 2 8" xfId="8892" xr:uid="{DDF2A265-B092-4B61-B80C-E143D9A23EEF}"/>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27C9E634-46C6-4B6F-80BE-C5AA354E17E6}"/>
    <cellStyle name="Normal 12 3 3 2 3" xfId="11450" xr:uid="{70875580-7658-4E12-8D7E-B9613FAF414E}"/>
    <cellStyle name="Normal 12 3 3 3" xfId="5084" xr:uid="{00000000-0005-0000-0000-0000350E0000}"/>
    <cellStyle name="Normal 12 3 3 3 2" xfId="13523" xr:uid="{F9543C92-06B9-48BE-9E73-3158715ED1AF}"/>
    <cellStyle name="Normal 12 3 3 4" xfId="9305" xr:uid="{EF3587D5-C8E8-4D12-BE60-9C74169817EB}"/>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444C7608-158C-4227-A930-96E461FC3511}"/>
    <cellStyle name="Normal 12 3 4 2 3" xfId="11863" xr:uid="{06F59428-AC10-4051-A266-7E021BE7877A}"/>
    <cellStyle name="Normal 12 3 4 3" xfId="5497" xr:uid="{00000000-0005-0000-0000-0000390E0000}"/>
    <cellStyle name="Normal 12 3 4 3 2" xfId="13936" xr:uid="{6AD61867-FE30-4A17-90F0-55E94B91B5F8}"/>
    <cellStyle name="Normal 12 3 4 4" xfId="9718" xr:uid="{CC978A81-495F-4E01-A588-962064E143BA}"/>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7AEDE9F4-D801-46BB-A624-A9C3508126E8}"/>
    <cellStyle name="Normal 12 3 5 2 3" xfId="12276" xr:uid="{9FDD8F91-64E9-4993-B5B8-87EE82A2D34E}"/>
    <cellStyle name="Normal 12 3 5 3" xfId="5910" xr:uid="{00000000-0005-0000-0000-00003D0E0000}"/>
    <cellStyle name="Normal 12 3 5 3 2" xfId="14349" xr:uid="{4779A12E-3352-4D54-89C2-EB4D8873FA90}"/>
    <cellStyle name="Normal 12 3 5 4" xfId="10131" xr:uid="{2CD7958D-F9B6-4000-A3A5-575F7BC7C389}"/>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E454C470-0F87-47B7-8C22-39E4ED25D26A}"/>
    <cellStyle name="Normal 12 3 6 2 3" xfId="12689" xr:uid="{795D5C69-20D8-4616-B509-767815CA6AF7}"/>
    <cellStyle name="Normal 12 3 6 3" xfId="6323" xr:uid="{00000000-0005-0000-0000-0000410E0000}"/>
    <cellStyle name="Normal 12 3 6 3 2" xfId="14762" xr:uid="{9A54D509-5996-4681-93C9-081E7E883980}"/>
    <cellStyle name="Normal 12 3 6 4" xfId="10544" xr:uid="{0C5A0D4A-12B4-4DA9-8782-0161CEBA30F7}"/>
    <cellStyle name="Normal 12 3 7" xfId="2452" xr:uid="{00000000-0005-0000-0000-0000420E0000}"/>
    <cellStyle name="Normal 12 3 7 2" xfId="6736" xr:uid="{00000000-0005-0000-0000-0000430E0000}"/>
    <cellStyle name="Normal 12 3 7 2 2" xfId="15175" xr:uid="{BCA1909A-A0BE-4D51-A792-8998E0FD182D}"/>
    <cellStyle name="Normal 12 3 7 3" xfId="10957" xr:uid="{D39B8B7B-12C0-4F43-B226-312AFAFCADD0}"/>
    <cellStyle name="Normal 12 3 8" xfId="4670" xr:uid="{00000000-0005-0000-0000-0000440E0000}"/>
    <cellStyle name="Normal 12 3 8 2" xfId="13109" xr:uid="{EA4F3737-D88E-4E7B-81A7-535C7F1F0724}"/>
    <cellStyle name="Normal 12 3 9" xfId="8891" xr:uid="{B4602104-9FDC-4025-8E13-AB2F0D909E64}"/>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1E5B75ED-E548-49C9-89E3-3D6E9E007866}"/>
    <cellStyle name="Normal 12 4 2 2 3" xfId="11452" xr:uid="{4CBAA564-5E11-4F95-B7DB-55FE2792357F}"/>
    <cellStyle name="Normal 12 4 2 3" xfId="5086" xr:uid="{00000000-0005-0000-0000-0000490E0000}"/>
    <cellStyle name="Normal 12 4 2 3 2" xfId="13525" xr:uid="{73D77984-5C0C-4C6E-9387-FA601BCF9DD8}"/>
    <cellStyle name="Normal 12 4 2 4" xfId="9307" xr:uid="{9A4AC4A5-6E66-4FAD-A4C3-1E466129C406}"/>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59375B96-23A7-494A-9E1E-69F19E6022A1}"/>
    <cellStyle name="Normal 12 4 3 2 3" xfId="11865" xr:uid="{7D1B1C4F-F07E-4DD7-9AD0-B8A25509FA13}"/>
    <cellStyle name="Normal 12 4 3 3" xfId="5499" xr:uid="{00000000-0005-0000-0000-00004D0E0000}"/>
    <cellStyle name="Normal 12 4 3 3 2" xfId="13938" xr:uid="{DE100453-7F2A-4F99-AE0F-66C856798B1E}"/>
    <cellStyle name="Normal 12 4 3 4" xfId="9720" xr:uid="{9354D11E-DDFF-4703-B7B8-B8F1B0462785}"/>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2EEE330F-467A-4E4E-BCEB-9D654BF2084B}"/>
    <cellStyle name="Normal 12 4 4 2 3" xfId="12278" xr:uid="{90032605-1CB2-4208-9F3E-F073A0993998}"/>
    <cellStyle name="Normal 12 4 4 3" xfId="5912" xr:uid="{00000000-0005-0000-0000-0000510E0000}"/>
    <cellStyle name="Normal 12 4 4 3 2" xfId="14351" xr:uid="{C60598C8-23BD-4CD9-A4B6-63C1E7A7F73E}"/>
    <cellStyle name="Normal 12 4 4 4" xfId="10133" xr:uid="{FF37F2F2-6BBE-44AF-A33D-6A49AA439F6D}"/>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2EA198A3-273F-4FE1-B134-E8A379C5B9D1}"/>
    <cellStyle name="Normal 12 4 5 2 3" xfId="12691" xr:uid="{97ED6D1B-2EC8-48A0-AF3B-FF42D90147E8}"/>
    <cellStyle name="Normal 12 4 5 3" xfId="6325" xr:uid="{00000000-0005-0000-0000-0000550E0000}"/>
    <cellStyle name="Normal 12 4 5 3 2" xfId="14764" xr:uid="{F04FBBD6-E656-46B5-9C3C-5E6959CEB528}"/>
    <cellStyle name="Normal 12 4 5 4" xfId="10546" xr:uid="{1BAE8ECF-0012-4417-A367-D8F47281D4C6}"/>
    <cellStyle name="Normal 12 4 6" xfId="2454" xr:uid="{00000000-0005-0000-0000-0000560E0000}"/>
    <cellStyle name="Normal 12 4 6 2" xfId="6738" xr:uid="{00000000-0005-0000-0000-0000570E0000}"/>
    <cellStyle name="Normal 12 4 6 2 2" xfId="15177" xr:uid="{BE5CE031-24F3-466A-B17E-C01CD7118639}"/>
    <cellStyle name="Normal 12 4 6 3" xfId="10959" xr:uid="{387A2CBF-AA6B-4729-9095-D8640F63EC1F}"/>
    <cellStyle name="Normal 12 4 7" xfId="4672" xr:uid="{00000000-0005-0000-0000-0000580E0000}"/>
    <cellStyle name="Normal 12 4 7 2" xfId="13111" xr:uid="{5F30E5BF-F14A-4BC2-BD66-B7B548ACA736}"/>
    <cellStyle name="Normal 12 4 8" xfId="8893" xr:uid="{C70219EE-2977-4B19-953B-53C1529C4708}"/>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2186667E-6120-4069-9926-E304D07F7862}"/>
    <cellStyle name="Normal 12 6 2 3" xfId="11445" xr:uid="{19F493EB-E353-4C0C-8A97-6355EB53BFB6}"/>
    <cellStyle name="Normal 12 6 3" xfId="5079" xr:uid="{00000000-0005-0000-0000-00005D0E0000}"/>
    <cellStyle name="Normal 12 6 3 2" xfId="13518" xr:uid="{AD4E80D0-AA0C-4D31-AB35-77FE9197E1DB}"/>
    <cellStyle name="Normal 12 6 4" xfId="9300" xr:uid="{2AC42D56-F5CB-4DB5-ACAF-70FF17BDDA80}"/>
    <cellStyle name="Normal 12 7" xfId="1183" xr:uid="{00000000-0005-0000-0000-00005E0E0000}"/>
    <cellStyle name="Normal 12 7 2" xfId="3414" xr:uid="{00000000-0005-0000-0000-00005F0E0000}"/>
    <cellStyle name="Normal 12 7 2 2" xfId="7637" xr:uid="{00000000-0005-0000-0000-0000600E0000}"/>
    <cellStyle name="Normal 12 7 2 2 2" xfId="16076" xr:uid="{0087481D-2199-48AD-9B55-56D4202982DC}"/>
    <cellStyle name="Normal 12 7 2 3" xfId="11858" xr:uid="{77764473-0E67-4359-886F-3A952E40E1F3}"/>
    <cellStyle name="Normal 12 7 3" xfId="5492" xr:uid="{00000000-0005-0000-0000-0000610E0000}"/>
    <cellStyle name="Normal 12 7 3 2" xfId="13931" xr:uid="{54D0A613-B3A8-44BC-AF35-E4D357DB378A}"/>
    <cellStyle name="Normal 12 7 4" xfId="9713" xr:uid="{4C597A15-0EF2-4E15-B11F-92B1AC60B99C}"/>
    <cellStyle name="Normal 12 8" xfId="1597" xr:uid="{00000000-0005-0000-0000-0000620E0000}"/>
    <cellStyle name="Normal 12 8 2" xfId="3827" xr:uid="{00000000-0005-0000-0000-0000630E0000}"/>
    <cellStyle name="Normal 12 8 2 2" xfId="8050" xr:uid="{00000000-0005-0000-0000-0000640E0000}"/>
    <cellStyle name="Normal 12 8 2 2 2" xfId="16489" xr:uid="{443E9CFC-A765-4EB1-AF62-035AC85F7E1A}"/>
    <cellStyle name="Normal 12 8 2 3" xfId="12271" xr:uid="{9039B3EE-6E3D-484B-9603-65D5E4CC87F2}"/>
    <cellStyle name="Normal 12 8 3" xfId="5905" xr:uid="{00000000-0005-0000-0000-0000650E0000}"/>
    <cellStyle name="Normal 12 8 3 2" xfId="14344" xr:uid="{5E7D7A49-8E7F-497A-BA7A-2D55EE9ABB19}"/>
    <cellStyle name="Normal 12 8 4" xfId="10126" xr:uid="{35804929-3EC8-442B-BB66-037F4911700B}"/>
    <cellStyle name="Normal 12 9" xfId="2011" xr:uid="{00000000-0005-0000-0000-0000660E0000}"/>
    <cellStyle name="Normal 12 9 2" xfId="4240" xr:uid="{00000000-0005-0000-0000-0000670E0000}"/>
    <cellStyle name="Normal 12 9 2 2" xfId="8463" xr:uid="{00000000-0005-0000-0000-0000680E0000}"/>
    <cellStyle name="Normal 12 9 2 2 2" xfId="16902" xr:uid="{2B2BD0F0-7BF0-4486-88F0-7E6F2726BAF6}"/>
    <cellStyle name="Normal 12 9 2 3" xfId="12684" xr:uid="{43F8A611-137C-4500-A6B8-48BC33DA4309}"/>
    <cellStyle name="Normal 12 9 3" xfId="6318" xr:uid="{00000000-0005-0000-0000-0000690E0000}"/>
    <cellStyle name="Normal 12 9 3 2" xfId="14757" xr:uid="{17109A3C-2EA8-4ADF-91D4-99FFE34E5633}"/>
    <cellStyle name="Normal 12 9 4" xfId="10539" xr:uid="{8E7D268D-1488-4622-A88F-F9BED1F818FA}"/>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13163B66-3A2D-4A5D-B427-7CF3ECBFA254}"/>
    <cellStyle name="Normal 14 2 2 3" xfId="11453" xr:uid="{026DEA32-E0DA-4E79-B205-9162C8B98574}"/>
    <cellStyle name="Normal 14 2 3" xfId="5087" xr:uid="{00000000-0005-0000-0000-0000700E0000}"/>
    <cellStyle name="Normal 14 2 3 2" xfId="13526" xr:uid="{0180CAE0-8A10-48F1-B7B7-A42326D1D8C5}"/>
    <cellStyle name="Normal 14 2 4" xfId="9308" xr:uid="{60079EA0-B940-44C1-82F7-9DB15F1DC697}"/>
    <cellStyle name="Normal 14 3" xfId="1191" xr:uid="{00000000-0005-0000-0000-0000710E0000}"/>
    <cellStyle name="Normal 14 3 2" xfId="3422" xr:uid="{00000000-0005-0000-0000-0000720E0000}"/>
    <cellStyle name="Normal 14 3 2 2" xfId="7645" xr:uid="{00000000-0005-0000-0000-0000730E0000}"/>
    <cellStyle name="Normal 14 3 2 2 2" xfId="16084" xr:uid="{A5C50A9E-B543-42C0-9237-BD34B083A1CF}"/>
    <cellStyle name="Normal 14 3 2 3" xfId="11866" xr:uid="{4A4F87E5-4503-49FE-A725-9BDAC3337CDB}"/>
    <cellStyle name="Normal 14 3 3" xfId="5500" xr:uid="{00000000-0005-0000-0000-0000740E0000}"/>
    <cellStyle name="Normal 14 3 3 2" xfId="13939" xr:uid="{779B5CB7-8C08-4E0D-B05D-EB0CF48EB4A5}"/>
    <cellStyle name="Normal 14 3 4" xfId="9721" xr:uid="{AE201F30-D868-4EB7-BAEE-4C0C0A2A5EC4}"/>
    <cellStyle name="Normal 14 4" xfId="1605" xr:uid="{00000000-0005-0000-0000-0000750E0000}"/>
    <cellStyle name="Normal 14 4 2" xfId="3835" xr:uid="{00000000-0005-0000-0000-0000760E0000}"/>
    <cellStyle name="Normal 14 4 2 2" xfId="8058" xr:uid="{00000000-0005-0000-0000-0000770E0000}"/>
    <cellStyle name="Normal 14 4 2 2 2" xfId="16497" xr:uid="{426891E1-0372-4288-85FC-09E38250466E}"/>
    <cellStyle name="Normal 14 4 2 3" xfId="12279" xr:uid="{C1AE38C1-200E-43DE-BD1F-A1E42652488E}"/>
    <cellStyle name="Normal 14 4 3" xfId="5913" xr:uid="{00000000-0005-0000-0000-0000780E0000}"/>
    <cellStyle name="Normal 14 4 3 2" xfId="14352" xr:uid="{8E6E12F5-725F-4B10-886D-318C53FF9DA2}"/>
    <cellStyle name="Normal 14 4 4" xfId="10134" xr:uid="{51069860-F567-4A93-874C-C59ED2643ED4}"/>
    <cellStyle name="Normal 14 5" xfId="2019" xr:uid="{00000000-0005-0000-0000-0000790E0000}"/>
    <cellStyle name="Normal 14 5 2" xfId="4248" xr:uid="{00000000-0005-0000-0000-00007A0E0000}"/>
    <cellStyle name="Normal 14 5 2 2" xfId="8471" xr:uid="{00000000-0005-0000-0000-00007B0E0000}"/>
    <cellStyle name="Normal 14 5 2 2 2" xfId="16910" xr:uid="{847D1F12-FC4D-498F-A7BF-167770745B9D}"/>
    <cellStyle name="Normal 14 5 2 3" xfId="12692" xr:uid="{A654AE56-7F8D-4017-8C80-2CF2D6A88E9C}"/>
    <cellStyle name="Normal 14 5 3" xfId="6326" xr:uid="{00000000-0005-0000-0000-00007C0E0000}"/>
    <cellStyle name="Normal 14 5 3 2" xfId="14765" xr:uid="{E8A5E911-7CD9-4F7E-9545-67339965B6C4}"/>
    <cellStyle name="Normal 14 5 4" xfId="10547" xr:uid="{4C77557E-C682-4687-B757-84C15E93567F}"/>
    <cellStyle name="Normal 14 6" xfId="2455" xr:uid="{00000000-0005-0000-0000-00007D0E0000}"/>
    <cellStyle name="Normal 14 6 2" xfId="6739" xr:uid="{00000000-0005-0000-0000-00007E0E0000}"/>
    <cellStyle name="Normal 14 6 2 2" xfId="15178" xr:uid="{3095ABD3-CBFE-4719-8A85-6A1A5C2242F3}"/>
    <cellStyle name="Normal 14 6 3" xfId="10960" xr:uid="{160EF158-BF4A-49AA-9944-CBFEF1286667}"/>
    <cellStyle name="Normal 14 7" xfId="4673" xr:uid="{00000000-0005-0000-0000-00007F0E0000}"/>
    <cellStyle name="Normal 14 7 2" xfId="13112" xr:uid="{DD925BDF-3AEA-45AC-9ECF-D7BACE56012F}"/>
    <cellStyle name="Normal 14 8" xfId="8894" xr:uid="{3603CE66-26BF-420D-8BBF-B7BAA53E6DE9}"/>
    <cellStyle name="Normal 15" xfId="4496" xr:uid="{00000000-0005-0000-0000-0000800E0000}"/>
    <cellStyle name="Normal 15 2" xfId="12938" xr:uid="{9BB21693-78CA-4789-8236-1C34F313DD9B}"/>
    <cellStyle name="Normal 16" xfId="4500" xr:uid="{00000000-0005-0000-0000-0000810E0000}"/>
    <cellStyle name="Normal 16 2" xfId="8716" xr:uid="{00000000-0005-0000-0000-0000820E0000}"/>
    <cellStyle name="Normal 16 2 2" xfId="17155" xr:uid="{9C3BB049-A5CA-4BD0-8953-12AF209ACC10}"/>
    <cellStyle name="Normal 16 3" xfId="8719" xr:uid="{3DE1BEEB-61FA-4094-B10F-9E0444F68763}"/>
    <cellStyle name="Normal 16 3 2" xfId="8723" xr:uid="{FE0BC069-4698-40B2-814D-8E09719245E9}"/>
    <cellStyle name="Normal 16 3 2 2" xfId="17161" xr:uid="{15A928C7-C439-4893-BA7D-F6D408263404}"/>
    <cellStyle name="Normal 16 3 3" xfId="17158" xr:uid="{A0E3332D-072E-44B3-940E-5021A416993F}"/>
    <cellStyle name="Normal 16 4" xfId="12941" xr:uid="{9B03725B-D630-49C5-B2D1-288B5693B02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92880DF9-4165-464F-86F2-BC47BD858C1A}"/>
    <cellStyle name="Normal 2 4 2 10 2 3" xfId="12693" xr:uid="{E5BD5AC0-F11C-4A38-889C-80EDF83852E5}"/>
    <cellStyle name="Normal 2 4 2 10 3" xfId="6327" xr:uid="{00000000-0005-0000-0000-0000910E0000}"/>
    <cellStyle name="Normal 2 4 2 10 3 2" xfId="14766" xr:uid="{5D1040D3-4CCB-4567-A3D9-AA06CF21DB1E}"/>
    <cellStyle name="Normal 2 4 2 10 4" xfId="10548" xr:uid="{52628202-FF15-41F7-8038-9D8B72DE17D7}"/>
    <cellStyle name="Normal 2 4 2 11" xfId="2456" xr:uid="{00000000-0005-0000-0000-0000920E0000}"/>
    <cellStyle name="Normal 2 4 2 11 2" xfId="6740" xr:uid="{00000000-0005-0000-0000-0000930E0000}"/>
    <cellStyle name="Normal 2 4 2 11 2 2" xfId="15179" xr:uid="{10B9013D-76A4-4B2E-8A94-6B936166CC5D}"/>
    <cellStyle name="Normal 2 4 2 11 3" xfId="10961" xr:uid="{F9499632-6074-491E-9611-C82B55DF25DC}"/>
    <cellStyle name="Normal 2 4 2 12" xfId="4674" xr:uid="{00000000-0005-0000-0000-0000940E0000}"/>
    <cellStyle name="Normal 2 4 2 12 2" xfId="13113" xr:uid="{C656473E-345A-4EE8-9ADA-93DE35110DDC}"/>
    <cellStyle name="Normal 2 4 2 13" xfId="8895" xr:uid="{045AD453-A259-41AC-9A05-81B6C84F65DF}"/>
    <cellStyle name="Normal 2 4 2 2" xfId="280" xr:uid="{00000000-0005-0000-0000-0000950E0000}"/>
    <cellStyle name="Normal 2 4 2 3" xfId="281" xr:uid="{00000000-0005-0000-0000-0000960E0000}"/>
    <cellStyle name="Normal 2 4 2 3 10" xfId="4675" xr:uid="{00000000-0005-0000-0000-0000970E0000}"/>
    <cellStyle name="Normal 2 4 2 3 10 2" xfId="13114" xr:uid="{C14D3014-531A-497B-BBF3-165AE26D8819}"/>
    <cellStyle name="Normal 2 4 2 3 11" xfId="8896" xr:uid="{7A5AB549-7824-4F7B-A749-5E9465A16832}"/>
    <cellStyle name="Normal 2 4 2 3 2" xfId="282" xr:uid="{00000000-0005-0000-0000-0000980E0000}"/>
    <cellStyle name="Normal 2 4 2 3 2 10" xfId="8897" xr:uid="{300E60F5-6803-4C9C-899B-6DE0A0490DAB}"/>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ACF55A58-5F2D-4CB9-8F3A-4666DD24FED9}"/>
    <cellStyle name="Normal 2 4 2 3 2 2 2 2 2 3" xfId="11458" xr:uid="{5114DA61-21DC-4B94-8BC2-F09262F6DC0C}"/>
    <cellStyle name="Normal 2 4 2 3 2 2 2 2 3" xfId="5092" xr:uid="{00000000-0005-0000-0000-00009E0E0000}"/>
    <cellStyle name="Normal 2 4 2 3 2 2 2 2 3 2" xfId="13531" xr:uid="{DC4168DE-25D7-4D11-B5AB-5A9AC58834B2}"/>
    <cellStyle name="Normal 2 4 2 3 2 2 2 2 4" xfId="9313" xr:uid="{FE642694-93DC-4804-8C83-5F5EF94EAFAC}"/>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AA184064-6031-4F29-BD22-0379FD0949CE}"/>
    <cellStyle name="Normal 2 4 2 3 2 2 2 3 2 3" xfId="11871" xr:uid="{0BAC6919-5242-489F-AAF9-130F081285F6}"/>
    <cellStyle name="Normal 2 4 2 3 2 2 2 3 3" xfId="5505" xr:uid="{00000000-0005-0000-0000-0000A20E0000}"/>
    <cellStyle name="Normal 2 4 2 3 2 2 2 3 3 2" xfId="13944" xr:uid="{AF88E3E0-99AF-4175-993F-A8ABB0ADDD59}"/>
    <cellStyle name="Normal 2 4 2 3 2 2 2 3 4" xfId="9726" xr:uid="{00F47D6C-709A-4893-9A50-9909530DB3AF}"/>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C0F1807C-B42A-4146-A3F3-B6AA3E3604AB}"/>
    <cellStyle name="Normal 2 4 2 3 2 2 2 4 2 3" xfId="12284" xr:uid="{148AEB83-0FDA-48FD-B210-C1598114F85C}"/>
    <cellStyle name="Normal 2 4 2 3 2 2 2 4 3" xfId="5918" xr:uid="{00000000-0005-0000-0000-0000A60E0000}"/>
    <cellStyle name="Normal 2 4 2 3 2 2 2 4 3 2" xfId="14357" xr:uid="{A17FF9D1-4D65-4773-BF7A-83C77C934ED0}"/>
    <cellStyle name="Normal 2 4 2 3 2 2 2 4 4" xfId="10139" xr:uid="{A72A8A35-4FB0-44B3-A71A-CC0EE60AC337}"/>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83947FCB-132D-44A2-8598-EC0DC1B0DA6B}"/>
    <cellStyle name="Normal 2 4 2 3 2 2 2 5 2 3" xfId="12697" xr:uid="{42D8AAEE-E9F9-46C6-A4F5-EDA322C81289}"/>
    <cellStyle name="Normal 2 4 2 3 2 2 2 5 3" xfId="6331" xr:uid="{00000000-0005-0000-0000-0000AA0E0000}"/>
    <cellStyle name="Normal 2 4 2 3 2 2 2 5 3 2" xfId="14770" xr:uid="{F6C1E960-7F3A-49D5-8262-B0B8A94066AB}"/>
    <cellStyle name="Normal 2 4 2 3 2 2 2 5 4" xfId="10552" xr:uid="{F83B14D1-A826-45BE-86D9-0CF798017886}"/>
    <cellStyle name="Normal 2 4 2 3 2 2 2 6" xfId="2460" xr:uid="{00000000-0005-0000-0000-0000AB0E0000}"/>
    <cellStyle name="Normal 2 4 2 3 2 2 2 6 2" xfId="6744" xr:uid="{00000000-0005-0000-0000-0000AC0E0000}"/>
    <cellStyle name="Normal 2 4 2 3 2 2 2 6 2 2" xfId="15183" xr:uid="{2CEA3C55-86FD-4778-AD19-F71D28F3F8C8}"/>
    <cellStyle name="Normal 2 4 2 3 2 2 2 6 3" xfId="10965" xr:uid="{88A1BA6A-BFB9-42C9-AF85-8EC62F0FA15D}"/>
    <cellStyle name="Normal 2 4 2 3 2 2 2 7" xfId="4678" xr:uid="{00000000-0005-0000-0000-0000AD0E0000}"/>
    <cellStyle name="Normal 2 4 2 3 2 2 2 7 2" xfId="13117" xr:uid="{2A512317-3DF7-4E0D-8D77-7956A9C78904}"/>
    <cellStyle name="Normal 2 4 2 3 2 2 2 8" xfId="8899" xr:uid="{02F0CE18-B2BF-4246-B6DB-808C94294B7D}"/>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2C1626EA-4917-4FBF-9813-A5FA7522572F}"/>
    <cellStyle name="Normal 2 4 2 3 2 2 3 2 3" xfId="11457" xr:uid="{2AC60A68-6CDD-4747-9B2E-ACBE87484125}"/>
    <cellStyle name="Normal 2 4 2 3 2 2 3 3" xfId="5091" xr:uid="{00000000-0005-0000-0000-0000B10E0000}"/>
    <cellStyle name="Normal 2 4 2 3 2 2 3 3 2" xfId="13530" xr:uid="{387F0EEA-9304-4ADA-B188-165C7DB960CF}"/>
    <cellStyle name="Normal 2 4 2 3 2 2 3 4" xfId="9312" xr:uid="{EB3C5422-D0E0-48AC-8B2D-439F64E831E2}"/>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A084F0CC-B056-4B19-A662-9ADECC78EA97}"/>
    <cellStyle name="Normal 2 4 2 3 2 2 4 2 3" xfId="11870" xr:uid="{89D1EC1D-B298-4F40-9133-158D10D00272}"/>
    <cellStyle name="Normal 2 4 2 3 2 2 4 3" xfId="5504" xr:uid="{00000000-0005-0000-0000-0000B50E0000}"/>
    <cellStyle name="Normal 2 4 2 3 2 2 4 3 2" xfId="13943" xr:uid="{9B4058AE-6E0C-4FE0-89EA-B530D1050071}"/>
    <cellStyle name="Normal 2 4 2 3 2 2 4 4" xfId="9725" xr:uid="{2C87A0CC-3B1A-4B4A-A4CF-C906A5A63CEA}"/>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E44E1C48-11B1-4BAE-832C-D50C9E14C0A3}"/>
    <cellStyle name="Normal 2 4 2 3 2 2 5 2 3" xfId="12283" xr:uid="{10FDC86E-0BFA-4866-AD41-A18EFE2968D2}"/>
    <cellStyle name="Normal 2 4 2 3 2 2 5 3" xfId="5917" xr:uid="{00000000-0005-0000-0000-0000B90E0000}"/>
    <cellStyle name="Normal 2 4 2 3 2 2 5 3 2" xfId="14356" xr:uid="{65A8F6C4-EC8A-43CE-997B-6B9686EE43B0}"/>
    <cellStyle name="Normal 2 4 2 3 2 2 5 4" xfId="10138" xr:uid="{F792A3CD-D3D8-4E6D-AB7B-C6A2331DE7A2}"/>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3D491EEA-BF5E-4D65-BA40-3DAE939CA8AE}"/>
    <cellStyle name="Normal 2 4 2 3 2 2 6 2 3" xfId="12696" xr:uid="{E8111A9C-1CF7-458E-86CC-62B72DB7225D}"/>
    <cellStyle name="Normal 2 4 2 3 2 2 6 3" xfId="6330" xr:uid="{00000000-0005-0000-0000-0000BD0E0000}"/>
    <cellStyle name="Normal 2 4 2 3 2 2 6 3 2" xfId="14769" xr:uid="{4B7AB490-0708-4210-963C-3340E3307D5C}"/>
    <cellStyle name="Normal 2 4 2 3 2 2 6 4" xfId="10551" xr:uid="{65C1CCDE-0803-4EA6-854C-070EBC5D7BA6}"/>
    <cellStyle name="Normal 2 4 2 3 2 2 7" xfId="2459" xr:uid="{00000000-0005-0000-0000-0000BE0E0000}"/>
    <cellStyle name="Normal 2 4 2 3 2 2 7 2" xfId="6743" xr:uid="{00000000-0005-0000-0000-0000BF0E0000}"/>
    <cellStyle name="Normal 2 4 2 3 2 2 7 2 2" xfId="15182" xr:uid="{A623D048-035F-4A66-8927-284A20CE53DF}"/>
    <cellStyle name="Normal 2 4 2 3 2 2 7 3" xfId="10964" xr:uid="{CF24A813-7203-40DC-98C6-F913BFD303F1}"/>
    <cellStyle name="Normal 2 4 2 3 2 2 8" xfId="4677" xr:uid="{00000000-0005-0000-0000-0000C00E0000}"/>
    <cellStyle name="Normal 2 4 2 3 2 2 8 2" xfId="13116" xr:uid="{786B5BE7-A678-4AFB-A800-B5C401233913}"/>
    <cellStyle name="Normal 2 4 2 3 2 2 9" xfId="8898" xr:uid="{83AA2D87-9631-48C1-8712-538137ED7F56}"/>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F6233EF1-FB01-44AF-B469-9D3E010757A9}"/>
    <cellStyle name="Normal 2 4 2 3 2 3 2 2 3" xfId="11459" xr:uid="{33AC654F-417A-479B-A11B-7C6FCD8C7D1E}"/>
    <cellStyle name="Normal 2 4 2 3 2 3 2 3" xfId="5093" xr:uid="{00000000-0005-0000-0000-0000C50E0000}"/>
    <cellStyle name="Normal 2 4 2 3 2 3 2 3 2" xfId="13532" xr:uid="{1F1D194F-5363-4058-B428-473BAB84DA2F}"/>
    <cellStyle name="Normal 2 4 2 3 2 3 2 4" xfId="9314" xr:uid="{599076B2-1D41-4F35-BAE0-D7AB5EA9B8E6}"/>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2D2BF407-3107-4948-8296-A587537AA638}"/>
    <cellStyle name="Normal 2 4 2 3 2 3 3 2 3" xfId="11872" xr:uid="{3E05008C-B8CF-4DAC-888C-2F468FBE234F}"/>
    <cellStyle name="Normal 2 4 2 3 2 3 3 3" xfId="5506" xr:uid="{00000000-0005-0000-0000-0000C90E0000}"/>
    <cellStyle name="Normal 2 4 2 3 2 3 3 3 2" xfId="13945" xr:uid="{0A300D62-4458-4E39-B59C-F34F9C0FF485}"/>
    <cellStyle name="Normal 2 4 2 3 2 3 3 4" xfId="9727" xr:uid="{51BEA381-7C6E-4721-88E2-149C3BCF9954}"/>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12607C2B-3E36-4C85-A610-E1C28B3E2058}"/>
    <cellStyle name="Normal 2 4 2 3 2 3 4 2 3" xfId="12285" xr:uid="{3DF0AFF7-7EDF-41C8-B515-3D878DBF44F9}"/>
    <cellStyle name="Normal 2 4 2 3 2 3 4 3" xfId="5919" xr:uid="{00000000-0005-0000-0000-0000CD0E0000}"/>
    <cellStyle name="Normal 2 4 2 3 2 3 4 3 2" xfId="14358" xr:uid="{7A6A94BB-1EAF-40DE-90ED-FA00DC1A8C4F}"/>
    <cellStyle name="Normal 2 4 2 3 2 3 4 4" xfId="10140" xr:uid="{D057A27A-5A1B-422D-AE86-289CCB52878C}"/>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CA69BFA7-102F-4E26-93D8-F0F41DBE76DB}"/>
    <cellStyle name="Normal 2 4 2 3 2 3 5 2 3" xfId="12698" xr:uid="{72043840-2FCD-45CB-8AA0-78D6B993C61C}"/>
    <cellStyle name="Normal 2 4 2 3 2 3 5 3" xfId="6332" xr:uid="{00000000-0005-0000-0000-0000D10E0000}"/>
    <cellStyle name="Normal 2 4 2 3 2 3 5 3 2" xfId="14771" xr:uid="{72A09E0E-D112-4959-A174-E1502FCF495D}"/>
    <cellStyle name="Normal 2 4 2 3 2 3 5 4" xfId="10553" xr:uid="{159B3815-90A7-466F-AFB5-7BAAE0E02FB9}"/>
    <cellStyle name="Normal 2 4 2 3 2 3 6" xfId="2461" xr:uid="{00000000-0005-0000-0000-0000D20E0000}"/>
    <cellStyle name="Normal 2 4 2 3 2 3 6 2" xfId="6745" xr:uid="{00000000-0005-0000-0000-0000D30E0000}"/>
    <cellStyle name="Normal 2 4 2 3 2 3 6 2 2" xfId="15184" xr:uid="{90469B74-6CD2-4393-AE96-CB18F0962FEF}"/>
    <cellStyle name="Normal 2 4 2 3 2 3 6 3" xfId="10966" xr:uid="{E5C83251-8138-43C9-B2C8-62576E5FF983}"/>
    <cellStyle name="Normal 2 4 2 3 2 3 7" xfId="4679" xr:uid="{00000000-0005-0000-0000-0000D40E0000}"/>
    <cellStyle name="Normal 2 4 2 3 2 3 7 2" xfId="13118" xr:uid="{1EAE4A0A-E6E9-4FE0-A27F-EC0A86EDB36D}"/>
    <cellStyle name="Normal 2 4 2 3 2 3 8" xfId="8900" xr:uid="{103FC062-9557-491D-B2C6-D29487D58414}"/>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882BF627-0C1D-4EE1-B476-B002DFA4A3BE}"/>
    <cellStyle name="Normal 2 4 2 3 2 4 2 3" xfId="11456" xr:uid="{4122708A-95F8-4C3D-ADEA-CA97ABCA412D}"/>
    <cellStyle name="Normal 2 4 2 3 2 4 3" xfId="5090" xr:uid="{00000000-0005-0000-0000-0000D80E0000}"/>
    <cellStyle name="Normal 2 4 2 3 2 4 3 2" xfId="13529" xr:uid="{FE1D35AF-6859-4DF6-944C-B98615A4407B}"/>
    <cellStyle name="Normal 2 4 2 3 2 4 4" xfId="9311" xr:uid="{6F4596C1-6CB1-4D13-A9D3-3F2CAFC36BE8}"/>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2969DFAF-FE0E-4B5C-B638-95618798931D}"/>
    <cellStyle name="Normal 2 4 2 3 2 5 2 3" xfId="11869" xr:uid="{A4BFB9EE-464E-4A9A-8039-5782C557C61D}"/>
    <cellStyle name="Normal 2 4 2 3 2 5 3" xfId="5503" xr:uid="{00000000-0005-0000-0000-0000DC0E0000}"/>
    <cellStyle name="Normal 2 4 2 3 2 5 3 2" xfId="13942" xr:uid="{B96B08BD-200C-424F-8CEA-95EEB6592DEF}"/>
    <cellStyle name="Normal 2 4 2 3 2 5 4" xfId="9724" xr:uid="{0B7B4530-D298-4F4C-ADA0-4CB5BD0FE7D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EFAA0541-6DB0-4C93-B0CB-24CC34A235C2}"/>
    <cellStyle name="Normal 2 4 2 3 2 6 2 3" xfId="12282" xr:uid="{47A1B149-F721-4558-B760-441E8182B421}"/>
    <cellStyle name="Normal 2 4 2 3 2 6 3" xfId="5916" xr:uid="{00000000-0005-0000-0000-0000E00E0000}"/>
    <cellStyle name="Normal 2 4 2 3 2 6 3 2" xfId="14355" xr:uid="{027CDC1F-059C-4FB4-B620-912E31E527D0}"/>
    <cellStyle name="Normal 2 4 2 3 2 6 4" xfId="10137" xr:uid="{916FD47A-7E07-4A46-A11F-CF853FF168E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D37FDC82-63B4-4BDE-B866-01BEDD7AF498}"/>
    <cellStyle name="Normal 2 4 2 3 2 7 2 3" xfId="12695" xr:uid="{94745D6A-61B8-4302-AB70-1E9A09228457}"/>
    <cellStyle name="Normal 2 4 2 3 2 7 3" xfId="6329" xr:uid="{00000000-0005-0000-0000-0000E40E0000}"/>
    <cellStyle name="Normal 2 4 2 3 2 7 3 2" xfId="14768" xr:uid="{816DF23A-99D0-4607-8376-E370F380EAAF}"/>
    <cellStyle name="Normal 2 4 2 3 2 7 4" xfId="10550" xr:uid="{E1E96F37-F8F4-430F-BF82-CF5752FAE5F1}"/>
    <cellStyle name="Normal 2 4 2 3 2 8" xfId="2458" xr:uid="{00000000-0005-0000-0000-0000E50E0000}"/>
    <cellStyle name="Normal 2 4 2 3 2 8 2" xfId="6742" xr:uid="{00000000-0005-0000-0000-0000E60E0000}"/>
    <cellStyle name="Normal 2 4 2 3 2 8 2 2" xfId="15181" xr:uid="{10589408-E09E-4469-B556-0DB1176D28D0}"/>
    <cellStyle name="Normal 2 4 2 3 2 8 3" xfId="10963" xr:uid="{2DB3BF3A-8A5E-48CB-89AA-8CC2C2ADD638}"/>
    <cellStyle name="Normal 2 4 2 3 2 9" xfId="4676" xr:uid="{00000000-0005-0000-0000-0000E70E0000}"/>
    <cellStyle name="Normal 2 4 2 3 2 9 2" xfId="13115" xr:uid="{D76F8927-7053-410A-BD83-CD0E4576A72A}"/>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EBF3C84E-EE3F-415E-897F-A2A9A8809286}"/>
    <cellStyle name="Normal 2 4 2 3 3 2 2 2 3" xfId="11461" xr:uid="{8D35E276-5589-4232-9F40-F59416E5ACBA}"/>
    <cellStyle name="Normal 2 4 2 3 3 2 2 3" xfId="5095" xr:uid="{00000000-0005-0000-0000-0000ED0E0000}"/>
    <cellStyle name="Normal 2 4 2 3 3 2 2 3 2" xfId="13534" xr:uid="{B8F0EAFE-232E-45DE-AAA8-99EF03E4BD1E}"/>
    <cellStyle name="Normal 2 4 2 3 3 2 2 4" xfId="9316" xr:uid="{740D0F7F-D54E-4F8E-92B5-61C9C10B4CC1}"/>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A66121C3-ED07-4180-80E4-665E15FAD6C1}"/>
    <cellStyle name="Normal 2 4 2 3 3 2 3 2 3" xfId="11874" xr:uid="{D81C8F15-5A91-401C-B225-E4BF615F9BB5}"/>
    <cellStyle name="Normal 2 4 2 3 3 2 3 3" xfId="5508" xr:uid="{00000000-0005-0000-0000-0000F10E0000}"/>
    <cellStyle name="Normal 2 4 2 3 3 2 3 3 2" xfId="13947" xr:uid="{909E25AF-9248-4423-9F1D-898DF39EF3D7}"/>
    <cellStyle name="Normal 2 4 2 3 3 2 3 4" xfId="9729" xr:uid="{DD26E70C-7E1E-4E34-97AF-E9A21A93D6BF}"/>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1F86ABAB-FB5C-491F-B064-523D8218CD83}"/>
    <cellStyle name="Normal 2 4 2 3 3 2 4 2 3" xfId="12287" xr:uid="{EDDBA357-4735-451F-9B46-87CF8A9EC12E}"/>
    <cellStyle name="Normal 2 4 2 3 3 2 4 3" xfId="5921" xr:uid="{00000000-0005-0000-0000-0000F50E0000}"/>
    <cellStyle name="Normal 2 4 2 3 3 2 4 3 2" xfId="14360" xr:uid="{52EF0CD9-DEEC-4A89-AE99-ABA076DC8497}"/>
    <cellStyle name="Normal 2 4 2 3 3 2 4 4" xfId="10142" xr:uid="{F452B8E0-12DE-48B4-A265-F08C5464846D}"/>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36974ABC-A72B-4C63-BE65-35FADB312956}"/>
    <cellStyle name="Normal 2 4 2 3 3 2 5 2 3" xfId="12700" xr:uid="{01160628-DA7C-4483-BB03-32E537139486}"/>
    <cellStyle name="Normal 2 4 2 3 3 2 5 3" xfId="6334" xr:uid="{00000000-0005-0000-0000-0000F90E0000}"/>
    <cellStyle name="Normal 2 4 2 3 3 2 5 3 2" xfId="14773" xr:uid="{1E29F44A-5256-46A0-AD17-D554C35724ED}"/>
    <cellStyle name="Normal 2 4 2 3 3 2 5 4" xfId="10555" xr:uid="{2A194FA6-5762-464A-B027-706E6FA40E32}"/>
    <cellStyle name="Normal 2 4 2 3 3 2 6" xfId="2463" xr:uid="{00000000-0005-0000-0000-0000FA0E0000}"/>
    <cellStyle name="Normal 2 4 2 3 3 2 6 2" xfId="6747" xr:uid="{00000000-0005-0000-0000-0000FB0E0000}"/>
    <cellStyle name="Normal 2 4 2 3 3 2 6 2 2" xfId="15186" xr:uid="{6AA5E620-E558-4BF7-B947-1242318E0C46}"/>
    <cellStyle name="Normal 2 4 2 3 3 2 6 3" xfId="10968" xr:uid="{049D4B2A-3C90-4EDF-9C94-51D6DB295F94}"/>
    <cellStyle name="Normal 2 4 2 3 3 2 7" xfId="4681" xr:uid="{00000000-0005-0000-0000-0000FC0E0000}"/>
    <cellStyle name="Normal 2 4 2 3 3 2 7 2" xfId="13120" xr:uid="{0BAE066E-D97F-4A8A-BF56-2C76D8536D72}"/>
    <cellStyle name="Normal 2 4 2 3 3 2 8" xfId="8902" xr:uid="{5B967B77-FDD6-4A53-9354-5C2F5C6FFA42}"/>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DA094252-EC87-484E-A93B-7C1B407F9029}"/>
    <cellStyle name="Normal 2 4 2 3 3 3 2 3" xfId="11460" xr:uid="{BA4F6D31-DB4E-4FC4-B89E-DFB8D86B6984}"/>
    <cellStyle name="Normal 2 4 2 3 3 3 3" xfId="5094" xr:uid="{00000000-0005-0000-0000-0000000F0000}"/>
    <cellStyle name="Normal 2 4 2 3 3 3 3 2" xfId="13533" xr:uid="{E1A6EA9E-E203-4831-9CCF-F3F4FF64F952}"/>
    <cellStyle name="Normal 2 4 2 3 3 3 4" xfId="9315" xr:uid="{0039E984-D87A-4455-BE4E-0C4E836DFB8A}"/>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EE3F6B83-4A70-443A-92F4-2EF6B029E620}"/>
    <cellStyle name="Normal 2 4 2 3 3 4 2 3" xfId="11873" xr:uid="{F608EE64-4F5B-4A06-8A25-BDC27BDD0E93}"/>
    <cellStyle name="Normal 2 4 2 3 3 4 3" xfId="5507" xr:uid="{00000000-0005-0000-0000-0000040F0000}"/>
    <cellStyle name="Normal 2 4 2 3 3 4 3 2" xfId="13946" xr:uid="{A0F7292D-6A75-43E0-B0F6-F519439FF5DF}"/>
    <cellStyle name="Normal 2 4 2 3 3 4 4" xfId="9728" xr:uid="{5B0D3E1B-9DCA-4682-A172-BE4096BBCCAB}"/>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4ACF1A5E-52C9-4A2F-AE73-D56EFC38B6F4}"/>
    <cellStyle name="Normal 2 4 2 3 3 5 2 3" xfId="12286" xr:uid="{B23D2776-CA93-4ADE-8392-D267885280C4}"/>
    <cellStyle name="Normal 2 4 2 3 3 5 3" xfId="5920" xr:uid="{00000000-0005-0000-0000-0000080F0000}"/>
    <cellStyle name="Normal 2 4 2 3 3 5 3 2" xfId="14359" xr:uid="{A21210E6-DE48-4913-B2CE-BDFC00868EA3}"/>
    <cellStyle name="Normal 2 4 2 3 3 5 4" xfId="10141" xr:uid="{ACBCECC8-2391-4B43-B083-93C1C63E8CB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3F52D389-EA61-45BD-A139-5119399FC9CB}"/>
    <cellStyle name="Normal 2 4 2 3 3 6 2 3" xfId="12699" xr:uid="{D75ECFED-3B2E-46B2-8AA4-DB0DA81DDEDB}"/>
    <cellStyle name="Normal 2 4 2 3 3 6 3" xfId="6333" xr:uid="{00000000-0005-0000-0000-00000C0F0000}"/>
    <cellStyle name="Normal 2 4 2 3 3 6 3 2" xfId="14772" xr:uid="{DFAB10CF-0935-4718-AD2B-075C8F34702A}"/>
    <cellStyle name="Normal 2 4 2 3 3 6 4" xfId="10554" xr:uid="{EE50A6F7-77FB-446F-8F61-4A52E7C924FB}"/>
    <cellStyle name="Normal 2 4 2 3 3 7" xfId="2462" xr:uid="{00000000-0005-0000-0000-00000D0F0000}"/>
    <cellStyle name="Normal 2 4 2 3 3 7 2" xfId="6746" xr:uid="{00000000-0005-0000-0000-00000E0F0000}"/>
    <cellStyle name="Normal 2 4 2 3 3 7 2 2" xfId="15185" xr:uid="{A47511CE-584A-445D-9140-4122607E871F}"/>
    <cellStyle name="Normal 2 4 2 3 3 7 3" xfId="10967" xr:uid="{465311E3-427F-47C7-8ABD-EA8DF8767042}"/>
    <cellStyle name="Normal 2 4 2 3 3 8" xfId="4680" xr:uid="{00000000-0005-0000-0000-00000F0F0000}"/>
    <cellStyle name="Normal 2 4 2 3 3 8 2" xfId="13119" xr:uid="{BB2F17F2-3D44-42A7-825B-44ABF1D3D55F}"/>
    <cellStyle name="Normal 2 4 2 3 3 9" xfId="8901" xr:uid="{5D20C14E-99D1-48BC-A4F0-06A63FF3099F}"/>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4EA59147-0B42-4EC4-8E68-11360ED51837}"/>
    <cellStyle name="Normal 2 4 2 3 4 2 2 3" xfId="11462" xr:uid="{C81EB53A-78B0-4377-A0D2-8BE2285C619B}"/>
    <cellStyle name="Normal 2 4 2 3 4 2 3" xfId="5096" xr:uid="{00000000-0005-0000-0000-0000140F0000}"/>
    <cellStyle name="Normal 2 4 2 3 4 2 3 2" xfId="13535" xr:uid="{15AF665B-1544-4570-9280-135469DA7C33}"/>
    <cellStyle name="Normal 2 4 2 3 4 2 4" xfId="9317" xr:uid="{2ABEA157-1A1E-4287-A2C2-6BDE65098009}"/>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F3C6935D-57CC-4D20-973A-D0AE51CBBB4E}"/>
    <cellStyle name="Normal 2 4 2 3 4 3 2 3" xfId="11875" xr:uid="{2E3BB164-EF44-4801-BE5A-E03B874308BE}"/>
    <cellStyle name="Normal 2 4 2 3 4 3 3" xfId="5509" xr:uid="{00000000-0005-0000-0000-0000180F0000}"/>
    <cellStyle name="Normal 2 4 2 3 4 3 3 2" xfId="13948" xr:uid="{DF65747D-E31E-40B3-B85D-2E653C3AF3E9}"/>
    <cellStyle name="Normal 2 4 2 3 4 3 4" xfId="9730" xr:uid="{A6DE6EA4-B4F6-4500-9E58-600059705734}"/>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E9DB83CA-B768-4CE5-B1F5-1F00EDE196E5}"/>
    <cellStyle name="Normal 2 4 2 3 4 4 2 3" xfId="12288" xr:uid="{B9BF27C0-623A-4A2E-A346-2B48AB24D566}"/>
    <cellStyle name="Normal 2 4 2 3 4 4 3" xfId="5922" xr:uid="{00000000-0005-0000-0000-00001C0F0000}"/>
    <cellStyle name="Normal 2 4 2 3 4 4 3 2" xfId="14361" xr:uid="{ADF95F47-ACDC-4977-AA2C-73D3DD4CFC84}"/>
    <cellStyle name="Normal 2 4 2 3 4 4 4" xfId="10143" xr:uid="{D2A3CBC5-1F16-4A7A-83CD-B01762D3662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0583FADC-6F1F-48CE-AD55-3C5A23250FDB}"/>
    <cellStyle name="Normal 2 4 2 3 4 5 2 3" xfId="12701" xr:uid="{4ED5D295-81EB-4DDD-B6CA-7DD563A9460B}"/>
    <cellStyle name="Normal 2 4 2 3 4 5 3" xfId="6335" xr:uid="{00000000-0005-0000-0000-0000200F0000}"/>
    <cellStyle name="Normal 2 4 2 3 4 5 3 2" xfId="14774" xr:uid="{E3D5D22F-5C84-4C87-9DD9-718BD675FE23}"/>
    <cellStyle name="Normal 2 4 2 3 4 5 4" xfId="10556" xr:uid="{9CED2BC6-846F-473F-AAB0-3FAFC602E1E0}"/>
    <cellStyle name="Normal 2 4 2 3 4 6" xfId="2464" xr:uid="{00000000-0005-0000-0000-0000210F0000}"/>
    <cellStyle name="Normal 2 4 2 3 4 6 2" xfId="6748" xr:uid="{00000000-0005-0000-0000-0000220F0000}"/>
    <cellStyle name="Normal 2 4 2 3 4 6 2 2" xfId="15187" xr:uid="{57825860-7F8E-49A0-9947-3204C7E50FBC}"/>
    <cellStyle name="Normal 2 4 2 3 4 6 3" xfId="10969" xr:uid="{0F113B65-A755-4F3F-9067-29C9FBEF7FBC}"/>
    <cellStyle name="Normal 2 4 2 3 4 7" xfId="4682" xr:uid="{00000000-0005-0000-0000-0000230F0000}"/>
    <cellStyle name="Normal 2 4 2 3 4 7 2" xfId="13121" xr:uid="{9167AD04-730D-444A-83E3-269E2860E9F5}"/>
    <cellStyle name="Normal 2 4 2 3 4 8" xfId="8903" xr:uid="{4885E184-0E80-40E2-9CE3-1D99F1E60A26}"/>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152228E3-C5B2-4EC1-BCD2-431A9984C49C}"/>
    <cellStyle name="Normal 2 4 2 3 5 2 3" xfId="11455" xr:uid="{E625133C-CF13-4161-8A6B-41C1DC1468AB}"/>
    <cellStyle name="Normal 2 4 2 3 5 3" xfId="5089" xr:uid="{00000000-0005-0000-0000-0000270F0000}"/>
    <cellStyle name="Normal 2 4 2 3 5 3 2" xfId="13528" xr:uid="{FDE4D24E-904E-4E41-8875-95CFC501DDF9}"/>
    <cellStyle name="Normal 2 4 2 3 5 4" xfId="9310" xr:uid="{163375F3-8713-49DD-B6CB-FADC813632E5}"/>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D7849D88-D52F-4C5B-81A7-310C6856BEB2}"/>
    <cellStyle name="Normal 2 4 2 3 6 2 3" xfId="11868" xr:uid="{15D4AE09-5237-446A-9BB2-003D2316FB2D}"/>
    <cellStyle name="Normal 2 4 2 3 6 3" xfId="5502" xr:uid="{00000000-0005-0000-0000-00002B0F0000}"/>
    <cellStyle name="Normal 2 4 2 3 6 3 2" xfId="13941" xr:uid="{31D3B54E-FF20-43CF-9940-412103584971}"/>
    <cellStyle name="Normal 2 4 2 3 6 4" xfId="9723" xr:uid="{FBFFDDC8-9259-4D7C-A194-905F68B4786E}"/>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08B5AD64-067F-45D4-81A8-CA540127500E}"/>
    <cellStyle name="Normal 2 4 2 3 7 2 3" xfId="12281" xr:uid="{4F1BDF8F-2C04-49FB-BB25-D15D5B67AAED}"/>
    <cellStyle name="Normal 2 4 2 3 7 3" xfId="5915" xr:uid="{00000000-0005-0000-0000-00002F0F0000}"/>
    <cellStyle name="Normal 2 4 2 3 7 3 2" xfId="14354" xr:uid="{F376DE30-77AE-4D0C-B0B2-B0D702552745}"/>
    <cellStyle name="Normal 2 4 2 3 7 4" xfId="10136" xr:uid="{C8A22DCD-A4CE-4BA2-AAE9-A0AA02467468}"/>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485502CF-EA48-4F79-A14D-31A97BDAFA11}"/>
    <cellStyle name="Normal 2 4 2 3 8 2 3" xfId="12694" xr:uid="{C820FA27-E8FB-4BE6-B3ED-26998DDA7FDC}"/>
    <cellStyle name="Normal 2 4 2 3 8 3" xfId="6328" xr:uid="{00000000-0005-0000-0000-0000330F0000}"/>
    <cellStyle name="Normal 2 4 2 3 8 3 2" xfId="14767" xr:uid="{6ED4A614-BC9E-4CEA-9EE2-5AC22DEAC803}"/>
    <cellStyle name="Normal 2 4 2 3 8 4" xfId="10549" xr:uid="{785AA53C-873B-4656-B12B-C3F50FD6446B}"/>
    <cellStyle name="Normal 2 4 2 3 9" xfId="2457" xr:uid="{00000000-0005-0000-0000-0000340F0000}"/>
    <cellStyle name="Normal 2 4 2 3 9 2" xfId="6741" xr:uid="{00000000-0005-0000-0000-0000350F0000}"/>
    <cellStyle name="Normal 2 4 2 3 9 2 2" xfId="15180" xr:uid="{BD9B13CD-AB4D-486D-A94F-EEFA0615C39B}"/>
    <cellStyle name="Normal 2 4 2 3 9 3" xfId="10962" xr:uid="{64C83C35-A8C3-44C7-ACD7-1710FB2F9E4E}"/>
    <cellStyle name="Normal 2 4 2 4" xfId="289" xr:uid="{00000000-0005-0000-0000-0000360F0000}"/>
    <cellStyle name="Normal 2 4 2 4 10" xfId="8904" xr:uid="{AD3EAB59-EC15-4F02-AF46-21C7CFBDDAAA}"/>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EAD619BC-DBD4-415B-8CF2-280D0F85DF3D}"/>
    <cellStyle name="Normal 2 4 2 4 2 2 2 2 3" xfId="11465" xr:uid="{162E3CDF-E8CD-4622-89E6-1625234BBBBB}"/>
    <cellStyle name="Normal 2 4 2 4 2 2 2 3" xfId="5099" xr:uid="{00000000-0005-0000-0000-00003C0F0000}"/>
    <cellStyle name="Normal 2 4 2 4 2 2 2 3 2" xfId="13538" xr:uid="{88CF48E1-157F-4E4F-A56F-745BC812C0C3}"/>
    <cellStyle name="Normal 2 4 2 4 2 2 2 4" xfId="9320" xr:uid="{351BF03E-23F7-430C-B7BB-BEC4D4E8714B}"/>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4079F3A5-4C9F-4EE6-9D78-C68F20F64EDF}"/>
    <cellStyle name="Normal 2 4 2 4 2 2 3 2 3" xfId="11878" xr:uid="{F0F13991-14F1-46D6-8351-4A8DAC79F201}"/>
    <cellStyle name="Normal 2 4 2 4 2 2 3 3" xfId="5512" xr:uid="{00000000-0005-0000-0000-0000400F0000}"/>
    <cellStyle name="Normal 2 4 2 4 2 2 3 3 2" xfId="13951" xr:uid="{5200CA1B-78CD-43B9-9848-CD77EBCE2ED1}"/>
    <cellStyle name="Normal 2 4 2 4 2 2 3 4" xfId="9733" xr:uid="{C17E01A5-E2FF-469C-843C-9363BCB1B6ED}"/>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5B4CDE79-B4AD-4BDE-92E6-72A8BBAF1109}"/>
    <cellStyle name="Normal 2 4 2 4 2 2 4 2 3" xfId="12291" xr:uid="{F9A1844C-1322-4170-81DC-E8668C90DC26}"/>
    <cellStyle name="Normal 2 4 2 4 2 2 4 3" xfId="5925" xr:uid="{00000000-0005-0000-0000-0000440F0000}"/>
    <cellStyle name="Normal 2 4 2 4 2 2 4 3 2" xfId="14364" xr:uid="{613438B9-4450-4CCB-9630-A7B40DC43958}"/>
    <cellStyle name="Normal 2 4 2 4 2 2 4 4" xfId="10146" xr:uid="{0AEA061A-22A7-441A-99A6-C82EC400CD27}"/>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06CA81FD-35CB-4B07-94DD-01D3EF0EE1C0}"/>
    <cellStyle name="Normal 2 4 2 4 2 2 5 2 3" xfId="12704" xr:uid="{6A9F5A7B-F077-4CB7-AEF5-4AE5585D165C}"/>
    <cellStyle name="Normal 2 4 2 4 2 2 5 3" xfId="6338" xr:uid="{00000000-0005-0000-0000-0000480F0000}"/>
    <cellStyle name="Normal 2 4 2 4 2 2 5 3 2" xfId="14777" xr:uid="{B893F12B-5973-49BD-9770-6C75D0F7BA3F}"/>
    <cellStyle name="Normal 2 4 2 4 2 2 5 4" xfId="10559" xr:uid="{BBB6DC98-5000-4AB7-938B-55E7C4C50B29}"/>
    <cellStyle name="Normal 2 4 2 4 2 2 6" xfId="2467" xr:uid="{00000000-0005-0000-0000-0000490F0000}"/>
    <cellStyle name="Normal 2 4 2 4 2 2 6 2" xfId="6751" xr:uid="{00000000-0005-0000-0000-00004A0F0000}"/>
    <cellStyle name="Normal 2 4 2 4 2 2 6 2 2" xfId="15190" xr:uid="{992418BB-3261-4500-A467-6880C8EC3BAD}"/>
    <cellStyle name="Normal 2 4 2 4 2 2 6 3" xfId="10972" xr:uid="{5344C5B0-C2FF-49C1-AF9A-4696C8426A91}"/>
    <cellStyle name="Normal 2 4 2 4 2 2 7" xfId="4685" xr:uid="{00000000-0005-0000-0000-00004B0F0000}"/>
    <cellStyle name="Normal 2 4 2 4 2 2 7 2" xfId="13124" xr:uid="{280A3AA9-8696-4B62-A37F-079BBEB38675}"/>
    <cellStyle name="Normal 2 4 2 4 2 2 8" xfId="8906" xr:uid="{67436312-98FE-4066-B0A5-BB0297BA77F9}"/>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A1D36C2F-28C6-4A8D-B94E-0709D5887D44}"/>
    <cellStyle name="Normal 2 4 2 4 2 3 2 3" xfId="11464" xr:uid="{D0743F25-DC0E-4B32-8DA9-BE60209D2311}"/>
    <cellStyle name="Normal 2 4 2 4 2 3 3" xfId="5098" xr:uid="{00000000-0005-0000-0000-00004F0F0000}"/>
    <cellStyle name="Normal 2 4 2 4 2 3 3 2" xfId="13537" xr:uid="{6AAB7B59-1706-4014-9C7B-DEF5C6FB002E}"/>
    <cellStyle name="Normal 2 4 2 4 2 3 4" xfId="9319" xr:uid="{D693020F-0009-4A95-B4E2-F08007B3C1A7}"/>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2A894ED4-8DAC-4880-ABAA-484017111D8E}"/>
    <cellStyle name="Normal 2 4 2 4 2 4 2 3" xfId="11877" xr:uid="{DFF02C94-AAFB-43CF-8E26-5E131D899A8C}"/>
    <cellStyle name="Normal 2 4 2 4 2 4 3" xfId="5511" xr:uid="{00000000-0005-0000-0000-0000530F0000}"/>
    <cellStyle name="Normal 2 4 2 4 2 4 3 2" xfId="13950" xr:uid="{57A82BD8-1BFB-41D1-B3A4-F9AE06A5195E}"/>
    <cellStyle name="Normal 2 4 2 4 2 4 4" xfId="9732" xr:uid="{E5C38518-A3AC-49C5-B429-E971E08D593D}"/>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E5D49565-D7F7-4DE8-B5A3-CF3B6A624C75}"/>
    <cellStyle name="Normal 2 4 2 4 2 5 2 3" xfId="12290" xr:uid="{2CA96BA0-EDE8-4E71-B41F-DEAA5AED68C3}"/>
    <cellStyle name="Normal 2 4 2 4 2 5 3" xfId="5924" xr:uid="{00000000-0005-0000-0000-0000570F0000}"/>
    <cellStyle name="Normal 2 4 2 4 2 5 3 2" xfId="14363" xr:uid="{1D5B0C10-A177-4406-B4FB-E4AED63A1C45}"/>
    <cellStyle name="Normal 2 4 2 4 2 5 4" xfId="10145" xr:uid="{47B665A4-37C3-486A-BCAD-7B56E9EFD5FF}"/>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40AEFEE3-DBD1-4F49-9399-FB3ABE8DE2E3}"/>
    <cellStyle name="Normal 2 4 2 4 2 6 2 3" xfId="12703" xr:uid="{E63EEFFE-3B86-46DC-A2B0-A6B9D8D4B099}"/>
    <cellStyle name="Normal 2 4 2 4 2 6 3" xfId="6337" xr:uid="{00000000-0005-0000-0000-00005B0F0000}"/>
    <cellStyle name="Normal 2 4 2 4 2 6 3 2" xfId="14776" xr:uid="{0D0D6ABC-E2D7-4127-865E-1517D5294AC9}"/>
    <cellStyle name="Normal 2 4 2 4 2 6 4" xfId="10558" xr:uid="{6DA95010-D724-4731-83AE-66D1AAB9207F}"/>
    <cellStyle name="Normal 2 4 2 4 2 7" xfId="2466" xr:uid="{00000000-0005-0000-0000-00005C0F0000}"/>
    <cellStyle name="Normal 2 4 2 4 2 7 2" xfId="6750" xr:uid="{00000000-0005-0000-0000-00005D0F0000}"/>
    <cellStyle name="Normal 2 4 2 4 2 7 2 2" xfId="15189" xr:uid="{86F3717D-6DB1-40D1-A8AE-F1C9E12F549B}"/>
    <cellStyle name="Normal 2 4 2 4 2 7 3" xfId="10971" xr:uid="{F739E466-14A0-4314-95E2-3EC6CB46725B}"/>
    <cellStyle name="Normal 2 4 2 4 2 8" xfId="4684" xr:uid="{00000000-0005-0000-0000-00005E0F0000}"/>
    <cellStyle name="Normal 2 4 2 4 2 8 2" xfId="13123" xr:uid="{0FF40B4B-53E7-4DC0-9FCC-0A1B8B6CC44C}"/>
    <cellStyle name="Normal 2 4 2 4 2 9" xfId="8905" xr:uid="{A956AB7D-67FA-48DB-BB88-E0FCA210996A}"/>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BD510507-9E43-4032-B0EE-2183755BE9FE}"/>
    <cellStyle name="Normal 2 4 2 4 3 2 2 3" xfId="11466" xr:uid="{0E0C5545-A931-4E87-AD2C-8E53C011DF2E}"/>
    <cellStyle name="Normal 2 4 2 4 3 2 3" xfId="5100" xr:uid="{00000000-0005-0000-0000-0000630F0000}"/>
    <cellStyle name="Normal 2 4 2 4 3 2 3 2" xfId="13539" xr:uid="{AABB78B3-5555-4A38-9AAA-A1916C1366BC}"/>
    <cellStyle name="Normal 2 4 2 4 3 2 4" xfId="9321" xr:uid="{76E83A78-0581-403E-89D2-66300FDD3115}"/>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25E7DEAD-F092-4DEA-BE9E-82527618AE78}"/>
    <cellStyle name="Normal 2 4 2 4 3 3 2 3" xfId="11879" xr:uid="{F791EDCE-EAC8-4D3A-9989-86D85AEE97BA}"/>
    <cellStyle name="Normal 2 4 2 4 3 3 3" xfId="5513" xr:uid="{00000000-0005-0000-0000-0000670F0000}"/>
    <cellStyle name="Normal 2 4 2 4 3 3 3 2" xfId="13952" xr:uid="{FD1822C0-4021-4E2A-BFEF-10C99228D609}"/>
    <cellStyle name="Normal 2 4 2 4 3 3 4" xfId="9734" xr:uid="{86E3D442-89DA-4948-BC6F-DD849B9002ED}"/>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670F367F-8DEF-4F60-A70F-2CF8D57C4D4B}"/>
    <cellStyle name="Normal 2 4 2 4 3 4 2 3" xfId="12292" xr:uid="{AC0282A4-CF4B-49BA-AE28-AF85B0858E02}"/>
    <cellStyle name="Normal 2 4 2 4 3 4 3" xfId="5926" xr:uid="{00000000-0005-0000-0000-00006B0F0000}"/>
    <cellStyle name="Normal 2 4 2 4 3 4 3 2" xfId="14365" xr:uid="{CC2081B4-771B-4994-B172-FD382709C5D4}"/>
    <cellStyle name="Normal 2 4 2 4 3 4 4" xfId="10147" xr:uid="{5FF18A1D-C5A3-4603-972C-D159A71E4B72}"/>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7D9101B0-F5F6-402B-8F82-ACEA9E081965}"/>
    <cellStyle name="Normal 2 4 2 4 3 5 2 3" xfId="12705" xr:uid="{74229B1C-AF4A-4FDF-A53E-9590728C2B08}"/>
    <cellStyle name="Normal 2 4 2 4 3 5 3" xfId="6339" xr:uid="{00000000-0005-0000-0000-00006F0F0000}"/>
    <cellStyle name="Normal 2 4 2 4 3 5 3 2" xfId="14778" xr:uid="{5B64D51A-7DA2-4060-B3FD-EBB88C72B137}"/>
    <cellStyle name="Normal 2 4 2 4 3 5 4" xfId="10560" xr:uid="{DD4BB96A-9E29-47B8-83F7-FD723B689C4A}"/>
    <cellStyle name="Normal 2 4 2 4 3 6" xfId="2468" xr:uid="{00000000-0005-0000-0000-0000700F0000}"/>
    <cellStyle name="Normal 2 4 2 4 3 6 2" xfId="6752" xr:uid="{00000000-0005-0000-0000-0000710F0000}"/>
    <cellStyle name="Normal 2 4 2 4 3 6 2 2" xfId="15191" xr:uid="{6188F420-F400-4B62-8581-4FC97260F252}"/>
    <cellStyle name="Normal 2 4 2 4 3 6 3" xfId="10973" xr:uid="{EDE578DD-030E-4A69-8C8C-87E1EC99D346}"/>
    <cellStyle name="Normal 2 4 2 4 3 7" xfId="4686" xr:uid="{00000000-0005-0000-0000-0000720F0000}"/>
    <cellStyle name="Normal 2 4 2 4 3 7 2" xfId="13125" xr:uid="{86CBB1AD-2403-4BB5-8C03-8F1EFD3C3D89}"/>
    <cellStyle name="Normal 2 4 2 4 3 8" xfId="8907" xr:uid="{394ADA7E-47B1-4010-BE83-B1D04910F710}"/>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9D175730-EC88-4E87-9DD5-FED172EA759E}"/>
    <cellStyle name="Normal 2 4 2 4 4 2 3" xfId="11463" xr:uid="{9A4E40D9-5A5E-4261-A8EE-46EB5FED9F10}"/>
    <cellStyle name="Normal 2 4 2 4 4 3" xfId="5097" xr:uid="{00000000-0005-0000-0000-0000760F0000}"/>
    <cellStyle name="Normal 2 4 2 4 4 3 2" xfId="13536" xr:uid="{A7125ADC-553E-4B0B-915B-FDB097FDF332}"/>
    <cellStyle name="Normal 2 4 2 4 4 4" xfId="9318" xr:uid="{BABA04DC-201A-4996-AFD9-16CF00419878}"/>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6336A3BD-250C-457C-A19D-3FD89E1F6C5D}"/>
    <cellStyle name="Normal 2 4 2 4 5 2 3" xfId="11876" xr:uid="{15AE82BE-18D0-402B-BFD1-8145EFC84F55}"/>
    <cellStyle name="Normal 2 4 2 4 5 3" xfId="5510" xr:uid="{00000000-0005-0000-0000-00007A0F0000}"/>
    <cellStyle name="Normal 2 4 2 4 5 3 2" xfId="13949" xr:uid="{4AEE30B3-97DA-44BC-A75B-AA023514C7D1}"/>
    <cellStyle name="Normal 2 4 2 4 5 4" xfId="9731" xr:uid="{64B99BB5-792D-409A-A612-363F1F09C346}"/>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A3FA7E14-D9FB-4C86-B404-6F6A43E9DEB8}"/>
    <cellStyle name="Normal 2 4 2 4 6 2 3" xfId="12289" xr:uid="{7C15EAA5-C52F-4282-A865-3897CFC7B642}"/>
    <cellStyle name="Normal 2 4 2 4 6 3" xfId="5923" xr:uid="{00000000-0005-0000-0000-00007E0F0000}"/>
    <cellStyle name="Normal 2 4 2 4 6 3 2" xfId="14362" xr:uid="{599F7A4B-CBC2-40D7-A333-471CBCE1004C}"/>
    <cellStyle name="Normal 2 4 2 4 6 4" xfId="10144" xr:uid="{74515778-F2B7-4324-A521-2963839D8A10}"/>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72AB18D8-1582-45E0-A37B-FE724F6D5F8E}"/>
    <cellStyle name="Normal 2 4 2 4 7 2 3" xfId="12702" xr:uid="{B03A063D-E18B-45D5-B44F-4FEBB4F2D68A}"/>
    <cellStyle name="Normal 2 4 2 4 7 3" xfId="6336" xr:uid="{00000000-0005-0000-0000-0000820F0000}"/>
    <cellStyle name="Normal 2 4 2 4 7 3 2" xfId="14775" xr:uid="{5A15F360-805B-4B33-927A-5C7C00F411DA}"/>
    <cellStyle name="Normal 2 4 2 4 7 4" xfId="10557" xr:uid="{632EB407-D437-45B6-9702-5EE6FBC12026}"/>
    <cellStyle name="Normal 2 4 2 4 8" xfId="2465" xr:uid="{00000000-0005-0000-0000-0000830F0000}"/>
    <cellStyle name="Normal 2 4 2 4 8 2" xfId="6749" xr:uid="{00000000-0005-0000-0000-0000840F0000}"/>
    <cellStyle name="Normal 2 4 2 4 8 2 2" xfId="15188" xr:uid="{F2BC327D-7217-49F8-8123-19184342B2C8}"/>
    <cellStyle name="Normal 2 4 2 4 8 3" xfId="10970" xr:uid="{0F625568-BC98-4F2C-9500-3CF12DFD6AFB}"/>
    <cellStyle name="Normal 2 4 2 4 9" xfId="4683" xr:uid="{00000000-0005-0000-0000-0000850F0000}"/>
    <cellStyle name="Normal 2 4 2 4 9 2" xfId="13122" xr:uid="{CC3AA122-879B-439B-AD7D-DF22E15C9E29}"/>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352E6464-24CB-4E1C-83C1-731BA236DB58}"/>
    <cellStyle name="Normal 2 4 2 5 2 2 2 3" xfId="11468" xr:uid="{C5A1AF46-5DFD-4882-A339-3A3264FA526D}"/>
    <cellStyle name="Normal 2 4 2 5 2 2 3" xfId="5102" xr:uid="{00000000-0005-0000-0000-00008B0F0000}"/>
    <cellStyle name="Normal 2 4 2 5 2 2 3 2" xfId="13541" xr:uid="{68E93D53-8D9F-4D4E-B277-5B41F35596D1}"/>
    <cellStyle name="Normal 2 4 2 5 2 2 4" xfId="9323" xr:uid="{DB7108FD-D07D-43C8-AA39-AF391E8982DE}"/>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7FF65362-7411-4E5B-828C-A455910E3E27}"/>
    <cellStyle name="Normal 2 4 2 5 2 3 2 3" xfId="11881" xr:uid="{35013A8B-0688-4C32-A16C-EA786CE77BA9}"/>
    <cellStyle name="Normal 2 4 2 5 2 3 3" xfId="5515" xr:uid="{00000000-0005-0000-0000-00008F0F0000}"/>
    <cellStyle name="Normal 2 4 2 5 2 3 3 2" xfId="13954" xr:uid="{5D5F97EA-C075-4FB4-AD78-F13F9BD725CE}"/>
    <cellStyle name="Normal 2 4 2 5 2 3 4" xfId="9736" xr:uid="{B87720A1-7CEC-4BE8-A4E4-19859247D341}"/>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F1AF63CA-10DC-474E-B2B0-666B72CA42AF}"/>
    <cellStyle name="Normal 2 4 2 5 2 4 2 3" xfId="12294" xr:uid="{4F4B5F6A-3491-475E-916E-55C31DC87C2C}"/>
    <cellStyle name="Normal 2 4 2 5 2 4 3" xfId="5928" xr:uid="{00000000-0005-0000-0000-0000930F0000}"/>
    <cellStyle name="Normal 2 4 2 5 2 4 3 2" xfId="14367" xr:uid="{863D94E2-7006-4D65-B639-462B58FF8F65}"/>
    <cellStyle name="Normal 2 4 2 5 2 4 4" xfId="10149" xr:uid="{B66E4ECD-F38B-498F-AF4C-1E6A0A5928DB}"/>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29AB30E5-5B84-4309-9DC5-6276AAC4E4DA}"/>
    <cellStyle name="Normal 2 4 2 5 2 5 2 3" xfId="12707" xr:uid="{02E3EE72-B623-462E-8927-FEC8C72B6D32}"/>
    <cellStyle name="Normal 2 4 2 5 2 5 3" xfId="6341" xr:uid="{00000000-0005-0000-0000-0000970F0000}"/>
    <cellStyle name="Normal 2 4 2 5 2 5 3 2" xfId="14780" xr:uid="{D76FAA4F-3C10-41E1-B048-C8E60E77DA1F}"/>
    <cellStyle name="Normal 2 4 2 5 2 5 4" xfId="10562" xr:uid="{CD8A58E9-BA0A-4C2A-8F84-B2A74459B91F}"/>
    <cellStyle name="Normal 2 4 2 5 2 6" xfId="2470" xr:uid="{00000000-0005-0000-0000-0000980F0000}"/>
    <cellStyle name="Normal 2 4 2 5 2 6 2" xfId="6754" xr:uid="{00000000-0005-0000-0000-0000990F0000}"/>
    <cellStyle name="Normal 2 4 2 5 2 6 2 2" xfId="15193" xr:uid="{230B5CDA-D01F-4DB8-A516-74699775AF31}"/>
    <cellStyle name="Normal 2 4 2 5 2 6 3" xfId="10975" xr:uid="{2596AB16-8453-4E9A-86B4-1B62096D44B8}"/>
    <cellStyle name="Normal 2 4 2 5 2 7" xfId="4688" xr:uid="{00000000-0005-0000-0000-00009A0F0000}"/>
    <cellStyle name="Normal 2 4 2 5 2 7 2" xfId="13127" xr:uid="{25CD4C0B-760D-4968-8E56-B1734CC969FF}"/>
    <cellStyle name="Normal 2 4 2 5 2 8" xfId="8909" xr:uid="{B309A38B-B831-488B-A632-215D6454C8E9}"/>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47F05927-CCC9-455D-A4EA-15330E8364FA}"/>
    <cellStyle name="Normal 2 4 2 5 3 2 3" xfId="11467" xr:uid="{FFA9F43C-1D85-4565-A521-216854E901A6}"/>
    <cellStyle name="Normal 2 4 2 5 3 3" xfId="5101" xr:uid="{00000000-0005-0000-0000-00009E0F0000}"/>
    <cellStyle name="Normal 2 4 2 5 3 3 2" xfId="13540" xr:uid="{0B75C0FD-4707-4239-A052-FD682B45D160}"/>
    <cellStyle name="Normal 2 4 2 5 3 4" xfId="9322" xr:uid="{2D60A550-9AEA-41F1-8CC5-A2A62BEA6294}"/>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6A6C87EB-78A5-44A9-831C-DDE35817D0DA}"/>
    <cellStyle name="Normal 2 4 2 5 4 2 3" xfId="11880" xr:uid="{A397E790-65B0-4AB9-BA45-9AD9F64969BC}"/>
    <cellStyle name="Normal 2 4 2 5 4 3" xfId="5514" xr:uid="{00000000-0005-0000-0000-0000A20F0000}"/>
    <cellStyle name="Normal 2 4 2 5 4 3 2" xfId="13953" xr:uid="{46B299B2-5A33-490A-B580-CC821B21009B}"/>
    <cellStyle name="Normal 2 4 2 5 4 4" xfId="9735" xr:uid="{23658959-B3FF-4DF5-A8F4-A23A077AE3D5}"/>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61F350D1-C56C-4244-9C28-0065471B5004}"/>
    <cellStyle name="Normal 2 4 2 5 5 2 3" xfId="12293" xr:uid="{D884E210-CE90-4532-A31F-5AE8FF695D26}"/>
    <cellStyle name="Normal 2 4 2 5 5 3" xfId="5927" xr:uid="{00000000-0005-0000-0000-0000A60F0000}"/>
    <cellStyle name="Normal 2 4 2 5 5 3 2" xfId="14366" xr:uid="{4CEA931B-B33C-45DD-8C6D-BD25BF22FA08}"/>
    <cellStyle name="Normal 2 4 2 5 5 4" xfId="10148" xr:uid="{CA45F397-F60D-4982-BBFE-1F2AB9E3EC6E}"/>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D5B4295C-5A14-4657-B8DD-C4FF27F52760}"/>
    <cellStyle name="Normal 2 4 2 5 6 2 3" xfId="12706" xr:uid="{AA67403A-7CD8-446D-9CA1-C42F15D96D21}"/>
    <cellStyle name="Normal 2 4 2 5 6 3" xfId="6340" xr:uid="{00000000-0005-0000-0000-0000AA0F0000}"/>
    <cellStyle name="Normal 2 4 2 5 6 3 2" xfId="14779" xr:uid="{F2DEF329-B1AB-4372-B986-D4825637312E}"/>
    <cellStyle name="Normal 2 4 2 5 6 4" xfId="10561" xr:uid="{58E006B3-AAE0-4201-869D-D099EF1866B7}"/>
    <cellStyle name="Normal 2 4 2 5 7" xfId="2469" xr:uid="{00000000-0005-0000-0000-0000AB0F0000}"/>
    <cellStyle name="Normal 2 4 2 5 7 2" xfId="6753" xr:uid="{00000000-0005-0000-0000-0000AC0F0000}"/>
    <cellStyle name="Normal 2 4 2 5 7 2 2" xfId="15192" xr:uid="{75FE49B0-D703-47E6-8057-CAE39B0F07BD}"/>
    <cellStyle name="Normal 2 4 2 5 7 3" xfId="10974" xr:uid="{40241C17-890F-4546-8B0A-41CCDFEBE2EE}"/>
    <cellStyle name="Normal 2 4 2 5 8" xfId="4687" xr:uid="{00000000-0005-0000-0000-0000AD0F0000}"/>
    <cellStyle name="Normal 2 4 2 5 8 2" xfId="13126" xr:uid="{C976C2D4-71A8-439A-910F-3BE3B51F1B48}"/>
    <cellStyle name="Normal 2 4 2 5 9" xfId="8908" xr:uid="{2DFE16EC-327C-416E-9295-3627F2C5BDCA}"/>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06D0C68B-0615-4DD7-B2B3-094E8464229D}"/>
    <cellStyle name="Normal 2 4 2 6 2 2 3" xfId="11469" xr:uid="{426EA818-C8CB-4CBA-BCB0-216D07F6F12E}"/>
    <cellStyle name="Normal 2 4 2 6 2 3" xfId="5103" xr:uid="{00000000-0005-0000-0000-0000B20F0000}"/>
    <cellStyle name="Normal 2 4 2 6 2 3 2" xfId="13542" xr:uid="{A02AF4CA-3668-411F-958D-6539DFE7A092}"/>
    <cellStyle name="Normal 2 4 2 6 2 4" xfId="9324" xr:uid="{B01F0A49-33AB-4665-B785-41C85D4D3543}"/>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9ADA9C6B-EE74-41D9-BFBE-443F9F0461A5}"/>
    <cellStyle name="Normal 2 4 2 6 3 2 3" xfId="11882" xr:uid="{A1D2B0D8-3D73-4E08-814A-BE803085751E}"/>
    <cellStyle name="Normal 2 4 2 6 3 3" xfId="5516" xr:uid="{00000000-0005-0000-0000-0000B60F0000}"/>
    <cellStyle name="Normal 2 4 2 6 3 3 2" xfId="13955" xr:uid="{F77F7EFB-7807-4F6A-8551-A9CE514D9F37}"/>
    <cellStyle name="Normal 2 4 2 6 3 4" xfId="9737" xr:uid="{9A80998A-6DC5-4343-9FF0-626D45A7CC59}"/>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1BE76773-F572-4398-8959-64DFD7AA91AC}"/>
    <cellStyle name="Normal 2 4 2 6 4 2 3" xfId="12295" xr:uid="{499239D9-0077-45A4-AE15-3FBF2C923A10}"/>
    <cellStyle name="Normal 2 4 2 6 4 3" xfId="5929" xr:uid="{00000000-0005-0000-0000-0000BA0F0000}"/>
    <cellStyle name="Normal 2 4 2 6 4 3 2" xfId="14368" xr:uid="{B509EC01-26B4-404D-AFD3-5FF164BB8DE4}"/>
    <cellStyle name="Normal 2 4 2 6 4 4" xfId="10150" xr:uid="{D8588F77-7EA6-450D-B885-18A18D5676B1}"/>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62855083-DD0B-4704-BF4F-26E32B0A4BEE}"/>
    <cellStyle name="Normal 2 4 2 6 5 2 3" xfId="12708" xr:uid="{5B08E82D-E4AE-442D-B2BF-C8035839944E}"/>
    <cellStyle name="Normal 2 4 2 6 5 3" xfId="6342" xr:uid="{00000000-0005-0000-0000-0000BE0F0000}"/>
    <cellStyle name="Normal 2 4 2 6 5 3 2" xfId="14781" xr:uid="{94C4B2A8-C989-458A-9815-6F99E1A82B24}"/>
    <cellStyle name="Normal 2 4 2 6 5 4" xfId="10563" xr:uid="{0806DF2C-9E84-40E8-A4C4-793087CEC355}"/>
    <cellStyle name="Normal 2 4 2 6 6" xfId="2471" xr:uid="{00000000-0005-0000-0000-0000BF0F0000}"/>
    <cellStyle name="Normal 2 4 2 6 6 2" xfId="6755" xr:uid="{00000000-0005-0000-0000-0000C00F0000}"/>
    <cellStyle name="Normal 2 4 2 6 6 2 2" xfId="15194" xr:uid="{39EEDF61-6AE6-49D7-92EA-337F1386EE79}"/>
    <cellStyle name="Normal 2 4 2 6 6 3" xfId="10976" xr:uid="{1D8F977C-E145-4E71-A80D-B8DAF60A79BC}"/>
    <cellStyle name="Normal 2 4 2 6 7" xfId="4689" xr:uid="{00000000-0005-0000-0000-0000C10F0000}"/>
    <cellStyle name="Normal 2 4 2 6 7 2" xfId="13128" xr:uid="{D04F4939-EA00-41F8-8276-FC4DC9AD1110}"/>
    <cellStyle name="Normal 2 4 2 6 8" xfId="8910" xr:uid="{8A66F0BF-04B0-4032-955B-342C29780FD4}"/>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5BC26DCD-1E9F-433B-A735-266D92AB69CE}"/>
    <cellStyle name="Normal 2 4 2 7 2 3" xfId="11454" xr:uid="{EB382ED9-2957-4C42-8BD0-2D40720A9573}"/>
    <cellStyle name="Normal 2 4 2 7 3" xfId="5088" xr:uid="{00000000-0005-0000-0000-0000C50F0000}"/>
    <cellStyle name="Normal 2 4 2 7 3 2" xfId="13527" xr:uid="{D09AE45C-39A1-4572-B20F-965F293C7168}"/>
    <cellStyle name="Normal 2 4 2 7 4" xfId="9309" xr:uid="{F9B3F657-F6E6-442C-81DF-995E1B235165}"/>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DDEA8CDF-75B0-4D19-8EEE-4655C925CA99}"/>
    <cellStyle name="Normal 2 4 2 8 2 3" xfId="11867" xr:uid="{7A4EAB44-74F9-4417-8E4D-FA2856852538}"/>
    <cellStyle name="Normal 2 4 2 8 3" xfId="5501" xr:uid="{00000000-0005-0000-0000-0000C90F0000}"/>
    <cellStyle name="Normal 2 4 2 8 3 2" xfId="13940" xr:uid="{A40B646A-7BEA-4C19-9686-FD421DA870A2}"/>
    <cellStyle name="Normal 2 4 2 8 4" xfId="9722" xr:uid="{214CEAC7-8F04-49B6-ABB1-25EDF045EC7A}"/>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0DD0DDC0-BADD-4009-BB2D-E99F2BA36550}"/>
    <cellStyle name="Normal 2 4 2 9 2 3" xfId="12280" xr:uid="{33EF8DDB-D908-4806-B9CB-9AD4C5F76D7A}"/>
    <cellStyle name="Normal 2 4 2 9 3" xfId="5914" xr:uid="{00000000-0005-0000-0000-0000CD0F0000}"/>
    <cellStyle name="Normal 2 4 2 9 3 2" xfId="14353" xr:uid="{8E054798-98E3-453D-AF50-41C82F234CBE}"/>
    <cellStyle name="Normal 2 4 2 9 4" xfId="10135" xr:uid="{5E416BC7-B574-45E5-BD47-86BACA1D61B4}"/>
    <cellStyle name="Normal 2 4 3" xfId="296" xr:uid="{00000000-0005-0000-0000-0000CE0F0000}"/>
    <cellStyle name="Normal 2 4 3 10" xfId="8911" xr:uid="{EA7A34FA-9447-4303-858C-7B24DCFD97E8}"/>
    <cellStyle name="Normal 2 4 3 2" xfId="297" xr:uid="{00000000-0005-0000-0000-0000CF0F0000}"/>
    <cellStyle name="Normal 2 4 3 3" xfId="298" xr:uid="{00000000-0005-0000-0000-0000D00F0000}"/>
    <cellStyle name="Normal 2 4 3 3 10" xfId="8912" xr:uid="{9C893C02-82C6-44E4-89F5-BA2A4311D96E}"/>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DFE96405-D3D9-4D41-9A04-FDE7595CC1C0}"/>
    <cellStyle name="Normal 2 4 3 3 2 2 2 2 3" xfId="11473" xr:uid="{32C9FAAB-2D1E-4135-9C0B-AEDB156A56B1}"/>
    <cellStyle name="Normal 2 4 3 3 2 2 2 3" xfId="5107" xr:uid="{00000000-0005-0000-0000-0000D60F0000}"/>
    <cellStyle name="Normal 2 4 3 3 2 2 2 3 2" xfId="13546" xr:uid="{A8F5B27F-BDAB-4AAB-BDC2-C25E44E020FF}"/>
    <cellStyle name="Normal 2 4 3 3 2 2 2 4" xfId="9328" xr:uid="{57337540-E76D-4C06-AA8F-AF48C12E8B2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171CDDFB-E60C-454E-A2ED-3F2D5B72FA09}"/>
    <cellStyle name="Normal 2 4 3 3 2 2 3 2 3" xfId="11886" xr:uid="{A5512BF8-38AE-4113-83A2-BCA22EC49178}"/>
    <cellStyle name="Normal 2 4 3 3 2 2 3 3" xfId="5520" xr:uid="{00000000-0005-0000-0000-0000DA0F0000}"/>
    <cellStyle name="Normal 2 4 3 3 2 2 3 3 2" xfId="13959" xr:uid="{395D376B-843C-4309-B490-D8A5747C99C7}"/>
    <cellStyle name="Normal 2 4 3 3 2 2 3 4" xfId="9741" xr:uid="{AFFD6F34-AE20-4E62-950B-DE44F47B8AE9}"/>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C666A1FA-DB77-4E3C-A96A-D725FFC7AA06}"/>
    <cellStyle name="Normal 2 4 3 3 2 2 4 2 3" xfId="12299" xr:uid="{037A6C9E-53A7-4E7E-A503-E7802EE5FD26}"/>
    <cellStyle name="Normal 2 4 3 3 2 2 4 3" xfId="5933" xr:uid="{00000000-0005-0000-0000-0000DE0F0000}"/>
    <cellStyle name="Normal 2 4 3 3 2 2 4 3 2" xfId="14372" xr:uid="{120339E6-435F-48DE-8348-FCDCAD0B40D7}"/>
    <cellStyle name="Normal 2 4 3 3 2 2 4 4" xfId="10154" xr:uid="{874359E1-4070-4CD0-98B4-D13BEBE04BAF}"/>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08D11B41-868C-4A6D-9DB8-297F99827E09}"/>
    <cellStyle name="Normal 2 4 3 3 2 2 5 2 3" xfId="12712" xr:uid="{0719DAAE-D462-48F1-9B88-288FD6686166}"/>
    <cellStyle name="Normal 2 4 3 3 2 2 5 3" xfId="6346" xr:uid="{00000000-0005-0000-0000-0000E20F0000}"/>
    <cellStyle name="Normal 2 4 3 3 2 2 5 3 2" xfId="14785" xr:uid="{0C3AC465-D3AB-400C-AA70-CAADC494A762}"/>
    <cellStyle name="Normal 2 4 3 3 2 2 5 4" xfId="10567" xr:uid="{17BC0E41-613B-4600-ABC3-80C8BD0FF7D7}"/>
    <cellStyle name="Normal 2 4 3 3 2 2 6" xfId="2475" xr:uid="{00000000-0005-0000-0000-0000E30F0000}"/>
    <cellStyle name="Normal 2 4 3 3 2 2 6 2" xfId="6759" xr:uid="{00000000-0005-0000-0000-0000E40F0000}"/>
    <cellStyle name="Normal 2 4 3 3 2 2 6 2 2" xfId="15198" xr:uid="{B47503D6-43D2-4F50-8B82-1B391DA3221A}"/>
    <cellStyle name="Normal 2 4 3 3 2 2 6 3" xfId="10980" xr:uid="{AFCB452C-4A90-4A30-A2E8-556278DB7439}"/>
    <cellStyle name="Normal 2 4 3 3 2 2 7" xfId="4693" xr:uid="{00000000-0005-0000-0000-0000E50F0000}"/>
    <cellStyle name="Normal 2 4 3 3 2 2 7 2" xfId="13132" xr:uid="{550E35D3-BCCA-4B24-BD24-02E0F977322A}"/>
    <cellStyle name="Normal 2 4 3 3 2 2 8" xfId="8914" xr:uid="{40AE4ECF-6BA5-44E9-ACF4-847E466CEC7D}"/>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13301C63-E8DF-42A6-8D6C-97CEE6EE5463}"/>
    <cellStyle name="Normal 2 4 3 3 2 3 2 3" xfId="11472" xr:uid="{8D94A27F-B47C-4049-9EBD-B9550556B431}"/>
    <cellStyle name="Normal 2 4 3 3 2 3 3" xfId="5106" xr:uid="{00000000-0005-0000-0000-0000E90F0000}"/>
    <cellStyle name="Normal 2 4 3 3 2 3 3 2" xfId="13545" xr:uid="{437C16D9-D9B5-49C2-BEC0-9D10E3E3E186}"/>
    <cellStyle name="Normal 2 4 3 3 2 3 4" xfId="9327" xr:uid="{77A5AE1A-CDD5-45BE-BE34-B33C327C65F7}"/>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368C3E1B-C291-460E-B5A5-85FD8D338F69}"/>
    <cellStyle name="Normal 2 4 3 3 2 4 2 3" xfId="11885" xr:uid="{D5E27B18-7963-4A35-95EE-BE7117FAAE5E}"/>
    <cellStyle name="Normal 2 4 3 3 2 4 3" xfId="5519" xr:uid="{00000000-0005-0000-0000-0000ED0F0000}"/>
    <cellStyle name="Normal 2 4 3 3 2 4 3 2" xfId="13958" xr:uid="{59EC2184-ED6B-4359-92E7-17ED31FCB6F9}"/>
    <cellStyle name="Normal 2 4 3 3 2 4 4" xfId="9740" xr:uid="{E68F64C9-B568-4735-8217-6C5C6ACF8EF6}"/>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47B2D603-DF12-421E-ACB6-258AF528905B}"/>
    <cellStyle name="Normal 2 4 3 3 2 5 2 3" xfId="12298" xr:uid="{83A42A39-5249-4F3D-BE00-66DC334850B8}"/>
    <cellStyle name="Normal 2 4 3 3 2 5 3" xfId="5932" xr:uid="{00000000-0005-0000-0000-0000F10F0000}"/>
    <cellStyle name="Normal 2 4 3 3 2 5 3 2" xfId="14371" xr:uid="{C3AB8D94-D621-4F64-9D3D-0279B009DF03}"/>
    <cellStyle name="Normal 2 4 3 3 2 5 4" xfId="10153" xr:uid="{875748B6-1A79-42BD-AD4F-5F7CBF1AA4EC}"/>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32DD4A50-3449-472D-80F2-02BB1AB9FD2A}"/>
    <cellStyle name="Normal 2 4 3 3 2 6 2 3" xfId="12711" xr:uid="{7E62C967-13A0-43AB-8290-3FC9316A4F9B}"/>
    <cellStyle name="Normal 2 4 3 3 2 6 3" xfId="6345" xr:uid="{00000000-0005-0000-0000-0000F50F0000}"/>
    <cellStyle name="Normal 2 4 3 3 2 6 3 2" xfId="14784" xr:uid="{6577329B-034F-4642-B0BC-FA52270A829D}"/>
    <cellStyle name="Normal 2 4 3 3 2 6 4" xfId="10566" xr:uid="{A4570C68-8214-40AC-917D-6E883083ABE9}"/>
    <cellStyle name="Normal 2 4 3 3 2 7" xfId="2474" xr:uid="{00000000-0005-0000-0000-0000F60F0000}"/>
    <cellStyle name="Normal 2 4 3 3 2 7 2" xfId="6758" xr:uid="{00000000-0005-0000-0000-0000F70F0000}"/>
    <cellStyle name="Normal 2 4 3 3 2 7 2 2" xfId="15197" xr:uid="{BEEE4242-E789-43ED-9EB1-E7D99038356E}"/>
    <cellStyle name="Normal 2 4 3 3 2 7 3" xfId="10979" xr:uid="{ED53DBEA-B950-40D0-9A77-65086417A005}"/>
    <cellStyle name="Normal 2 4 3 3 2 8" xfId="4692" xr:uid="{00000000-0005-0000-0000-0000F80F0000}"/>
    <cellStyle name="Normal 2 4 3 3 2 8 2" xfId="13131" xr:uid="{7AB17406-9438-4E00-A75D-A81910BF5A0F}"/>
    <cellStyle name="Normal 2 4 3 3 2 9" xfId="8913" xr:uid="{2846424E-0C1D-4892-BB8A-543F26D4252A}"/>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6722299E-3FC1-4BD9-BA40-B153FD4FDD61}"/>
    <cellStyle name="Normal 2 4 3 3 3 2 2 3" xfId="11474" xr:uid="{E53CF021-AE4F-4BBF-9B20-38921E82CDA8}"/>
    <cellStyle name="Normal 2 4 3 3 3 2 3" xfId="5108" xr:uid="{00000000-0005-0000-0000-0000FD0F0000}"/>
    <cellStyle name="Normal 2 4 3 3 3 2 3 2" xfId="13547" xr:uid="{2214E4B2-05B3-4201-B43D-A57E96FFD644}"/>
    <cellStyle name="Normal 2 4 3 3 3 2 4" xfId="9329" xr:uid="{E8D1373E-8A19-4F67-B563-86F78A2082AC}"/>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8D094DF5-C291-4425-B955-4D6531DD05F4}"/>
    <cellStyle name="Normal 2 4 3 3 3 3 2 3" xfId="11887" xr:uid="{AFBCC97A-14B3-4172-9D5A-638E9D037E77}"/>
    <cellStyle name="Normal 2 4 3 3 3 3 3" xfId="5521" xr:uid="{00000000-0005-0000-0000-000001100000}"/>
    <cellStyle name="Normal 2 4 3 3 3 3 3 2" xfId="13960" xr:uid="{CC70B632-BD49-4189-A03C-822878ED779A}"/>
    <cellStyle name="Normal 2 4 3 3 3 3 4" xfId="9742" xr:uid="{A619A2D4-3D6A-4C7B-A944-981D79CDAC0C}"/>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2DB71039-58BF-4916-B712-AEF9C9AC6C1A}"/>
    <cellStyle name="Normal 2 4 3 3 3 4 2 3" xfId="12300" xr:uid="{7FFC2E94-509C-406E-AF8B-7AB60378BF41}"/>
    <cellStyle name="Normal 2 4 3 3 3 4 3" xfId="5934" xr:uid="{00000000-0005-0000-0000-000005100000}"/>
    <cellStyle name="Normal 2 4 3 3 3 4 3 2" xfId="14373" xr:uid="{29A050E1-BF12-4261-AA8B-663350E50502}"/>
    <cellStyle name="Normal 2 4 3 3 3 4 4" xfId="10155" xr:uid="{CA1C8B49-90F1-4881-A317-1FD4D11236CA}"/>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429FE84F-71B6-4B1B-AC19-1726D8C92914}"/>
    <cellStyle name="Normal 2 4 3 3 3 5 2 3" xfId="12713" xr:uid="{2D820449-D780-4C08-A316-AD54DBB73257}"/>
    <cellStyle name="Normal 2 4 3 3 3 5 3" xfId="6347" xr:uid="{00000000-0005-0000-0000-000009100000}"/>
    <cellStyle name="Normal 2 4 3 3 3 5 3 2" xfId="14786" xr:uid="{6FBEB493-5751-475F-B515-F8B8045E21CA}"/>
    <cellStyle name="Normal 2 4 3 3 3 5 4" xfId="10568" xr:uid="{91E979F4-A345-4829-BC04-1DF00EF1412D}"/>
    <cellStyle name="Normal 2 4 3 3 3 6" xfId="2476" xr:uid="{00000000-0005-0000-0000-00000A100000}"/>
    <cellStyle name="Normal 2 4 3 3 3 6 2" xfId="6760" xr:uid="{00000000-0005-0000-0000-00000B100000}"/>
    <cellStyle name="Normal 2 4 3 3 3 6 2 2" xfId="15199" xr:uid="{59280C0E-1625-4E6B-B15A-82F7414522AD}"/>
    <cellStyle name="Normal 2 4 3 3 3 6 3" xfId="10981" xr:uid="{A933EEF2-A310-4ABD-8AF6-8A57C5690363}"/>
    <cellStyle name="Normal 2 4 3 3 3 7" xfId="4694" xr:uid="{00000000-0005-0000-0000-00000C100000}"/>
    <cellStyle name="Normal 2 4 3 3 3 7 2" xfId="13133" xr:uid="{27A46B13-2B8B-4BED-A122-38693E98937D}"/>
    <cellStyle name="Normal 2 4 3 3 3 8" xfId="8915" xr:uid="{0F7EB93A-59AB-4FD5-A491-DAEC656AA7B0}"/>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C7EA03F2-7C40-4B9C-99E1-6B4FDA382787}"/>
    <cellStyle name="Normal 2 4 3 3 4 2 3" xfId="11471" xr:uid="{ED36A2C2-1955-4A0A-B800-3B664B453EAA}"/>
    <cellStyle name="Normal 2 4 3 3 4 3" xfId="5105" xr:uid="{00000000-0005-0000-0000-000010100000}"/>
    <cellStyle name="Normal 2 4 3 3 4 3 2" xfId="13544" xr:uid="{524D4A32-E5E4-432B-B400-679706915FC3}"/>
    <cellStyle name="Normal 2 4 3 3 4 4" xfId="9326" xr:uid="{F56A4AE7-5F86-41A5-9350-36AEB8341902}"/>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B26AFD25-3FC7-4DE9-8D36-DED0DFD7D232}"/>
    <cellStyle name="Normal 2 4 3 3 5 2 3" xfId="11884" xr:uid="{FC92B36C-8FBB-4B6F-8261-E5DED492ADF7}"/>
    <cellStyle name="Normal 2 4 3 3 5 3" xfId="5518" xr:uid="{00000000-0005-0000-0000-000014100000}"/>
    <cellStyle name="Normal 2 4 3 3 5 3 2" xfId="13957" xr:uid="{51C63C69-753A-4A97-BC72-86B89F35EB5E}"/>
    <cellStyle name="Normal 2 4 3 3 5 4" xfId="9739" xr:uid="{866806DD-5C7C-4290-86EE-385D67465E04}"/>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97F488C5-2795-496F-8FA9-2CBABB64469E}"/>
    <cellStyle name="Normal 2 4 3 3 6 2 3" xfId="12297" xr:uid="{75D927BA-F832-4559-8A2D-E34D401995FA}"/>
    <cellStyle name="Normal 2 4 3 3 6 3" xfId="5931" xr:uid="{00000000-0005-0000-0000-000018100000}"/>
    <cellStyle name="Normal 2 4 3 3 6 3 2" xfId="14370" xr:uid="{33BD5630-89B7-4BA0-BB8B-81168E52B287}"/>
    <cellStyle name="Normal 2 4 3 3 6 4" xfId="10152" xr:uid="{68BCDBC9-CAA4-4E44-B5B0-0D444BA124EB}"/>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AADA22D8-E3BD-493A-AC94-7335DE939409}"/>
    <cellStyle name="Normal 2 4 3 3 7 2 3" xfId="12710" xr:uid="{F964DDC2-669B-4E27-A1D2-16D45A26CFFC}"/>
    <cellStyle name="Normal 2 4 3 3 7 3" xfId="6344" xr:uid="{00000000-0005-0000-0000-00001C100000}"/>
    <cellStyle name="Normal 2 4 3 3 7 3 2" xfId="14783" xr:uid="{1445C8D9-811A-4BF1-937B-3EC550B58908}"/>
    <cellStyle name="Normal 2 4 3 3 7 4" xfId="10565" xr:uid="{2B14D2FF-6F48-42C7-9ABC-08F0FC5016F6}"/>
    <cellStyle name="Normal 2 4 3 3 8" xfId="2473" xr:uid="{00000000-0005-0000-0000-00001D100000}"/>
    <cellStyle name="Normal 2 4 3 3 8 2" xfId="6757" xr:uid="{00000000-0005-0000-0000-00001E100000}"/>
    <cellStyle name="Normal 2 4 3 3 8 2 2" xfId="15196" xr:uid="{4C43BAA0-202A-490C-ACD8-E476202D2994}"/>
    <cellStyle name="Normal 2 4 3 3 8 3" xfId="10978" xr:uid="{B7376F38-56EA-42CB-A92A-7014234307CF}"/>
    <cellStyle name="Normal 2 4 3 3 9" xfId="4691" xr:uid="{00000000-0005-0000-0000-00001F100000}"/>
    <cellStyle name="Normal 2 4 3 3 9 2" xfId="13130" xr:uid="{ACEED25D-BB0E-4DA5-BC0F-4217EEA27E25}"/>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5684B974-CA86-4D28-AD25-F6E597DEED36}"/>
    <cellStyle name="Normal 2 4 3 4 2 3" xfId="11470" xr:uid="{CB738676-7F31-4C84-8A6E-202238C64687}"/>
    <cellStyle name="Normal 2 4 3 4 3" xfId="5104" xr:uid="{00000000-0005-0000-0000-000023100000}"/>
    <cellStyle name="Normal 2 4 3 4 3 2" xfId="13543" xr:uid="{565D0B93-1A66-4159-8685-FE3530AD893C}"/>
    <cellStyle name="Normal 2 4 3 4 4" xfId="9325" xr:uid="{180B6CB3-CD3F-4F21-97EF-CE5EE33965E7}"/>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4EDA69BE-35A0-4DC5-BD07-D865197913D9}"/>
    <cellStyle name="Normal 2 4 3 5 2 3" xfId="11883" xr:uid="{FEBDBB99-7CE3-4D21-93DC-5C9CC139030C}"/>
    <cellStyle name="Normal 2 4 3 5 3" xfId="5517" xr:uid="{00000000-0005-0000-0000-000027100000}"/>
    <cellStyle name="Normal 2 4 3 5 3 2" xfId="13956" xr:uid="{63A9AAC9-EF57-4DF8-B45D-00FEDE4AE4D4}"/>
    <cellStyle name="Normal 2 4 3 5 4" xfId="9738" xr:uid="{16848A51-0EB7-408A-B51D-61D8B7756D67}"/>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897A469E-500B-4840-B9A7-4704FA9CBE7E}"/>
    <cellStyle name="Normal 2 4 3 6 2 3" xfId="12296" xr:uid="{106346C1-5498-4BA4-8802-329557A92D53}"/>
    <cellStyle name="Normal 2 4 3 6 3" xfId="5930" xr:uid="{00000000-0005-0000-0000-00002B100000}"/>
    <cellStyle name="Normal 2 4 3 6 3 2" xfId="14369" xr:uid="{3FDFB764-5C5C-49EA-A876-F24FBC6BB707}"/>
    <cellStyle name="Normal 2 4 3 6 4" xfId="10151" xr:uid="{2AEDDDE0-B657-4A09-A340-9028E9959669}"/>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A610F504-04A1-4456-B942-E63B1E37FF0C}"/>
    <cellStyle name="Normal 2 4 3 7 2 3" xfId="12709" xr:uid="{3A2BB5DB-419E-4105-AD07-E7212806052D}"/>
    <cellStyle name="Normal 2 4 3 7 3" xfId="6343" xr:uid="{00000000-0005-0000-0000-00002F100000}"/>
    <cellStyle name="Normal 2 4 3 7 3 2" xfId="14782" xr:uid="{2DACA62D-9D5A-4CD1-B35B-4240B2307292}"/>
    <cellStyle name="Normal 2 4 3 7 4" xfId="10564" xr:uid="{202F464A-C52B-4DCE-BA47-931AF2434A41}"/>
    <cellStyle name="Normal 2 4 3 8" xfId="2472" xr:uid="{00000000-0005-0000-0000-000030100000}"/>
    <cellStyle name="Normal 2 4 3 8 2" xfId="6756" xr:uid="{00000000-0005-0000-0000-000031100000}"/>
    <cellStyle name="Normal 2 4 3 8 2 2" xfId="15195" xr:uid="{B272D01B-C4CA-481B-83CB-7CE03A11EF8F}"/>
    <cellStyle name="Normal 2 4 3 8 3" xfId="10977" xr:uid="{1013D794-ABF2-46B6-B8E0-D36250A2B81F}"/>
    <cellStyle name="Normal 2 4 3 9" xfId="4690" xr:uid="{00000000-0005-0000-0000-000032100000}"/>
    <cellStyle name="Normal 2 4 3 9 2" xfId="13129" xr:uid="{755AE486-5A83-4DE5-9DF4-FDABDC8CF25E}"/>
    <cellStyle name="Normal 2 4 4" xfId="302" xr:uid="{00000000-0005-0000-0000-000033100000}"/>
    <cellStyle name="Normal 2 4 5" xfId="303" xr:uid="{00000000-0005-0000-0000-000034100000}"/>
    <cellStyle name="Normal 2 4 5 10" xfId="4695" xr:uid="{00000000-0005-0000-0000-000035100000}"/>
    <cellStyle name="Normal 2 4 5 10 2" xfId="13134" xr:uid="{4F1304DE-1633-49E4-A63B-A0CA5685A3F7}"/>
    <cellStyle name="Normal 2 4 5 11" xfId="8916" xr:uid="{3CBF67CE-2467-4508-8C55-BBB16E45A151}"/>
    <cellStyle name="Normal 2 4 5 2" xfId="304" xr:uid="{00000000-0005-0000-0000-000036100000}"/>
    <cellStyle name="Normal 2 4 5 2 10" xfId="8917" xr:uid="{DC057496-AA01-4C2E-BF62-F635B03DC84C}"/>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36FC6341-1E49-494F-90FF-920565519D69}"/>
    <cellStyle name="Normal 2 4 5 2 2 2 2 2 3" xfId="11478" xr:uid="{9FFD4BCB-4E79-4D1F-90C7-6F66E99A33E0}"/>
    <cellStyle name="Normal 2 4 5 2 2 2 2 3" xfId="5112" xr:uid="{00000000-0005-0000-0000-00003C100000}"/>
    <cellStyle name="Normal 2 4 5 2 2 2 2 3 2" xfId="13551" xr:uid="{2B586A62-DFFD-4D30-AE04-4C989B85CC3C}"/>
    <cellStyle name="Normal 2 4 5 2 2 2 2 4" xfId="9333" xr:uid="{CADC59A6-DC08-4927-8647-A1519F2409AB}"/>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9464C12E-A4FC-4C16-84A3-2888BACFD2AE}"/>
    <cellStyle name="Normal 2 4 5 2 2 2 3 2 3" xfId="11891" xr:uid="{997BA408-9CD1-4EC4-B59A-C4B4FAD2F3CB}"/>
    <cellStyle name="Normal 2 4 5 2 2 2 3 3" xfId="5525" xr:uid="{00000000-0005-0000-0000-000040100000}"/>
    <cellStyle name="Normal 2 4 5 2 2 2 3 3 2" xfId="13964" xr:uid="{B5AD6227-A845-4CBF-8C08-2C28150ECED1}"/>
    <cellStyle name="Normal 2 4 5 2 2 2 3 4" xfId="9746" xr:uid="{3358FC1F-D04C-4117-BD4E-E29BC605066D}"/>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46000F3E-2924-420D-A0AB-B95E440C78E5}"/>
    <cellStyle name="Normal 2 4 5 2 2 2 4 2 3" xfId="12304" xr:uid="{50742548-4574-4427-8E5C-2027B939FECF}"/>
    <cellStyle name="Normal 2 4 5 2 2 2 4 3" xfId="5938" xr:uid="{00000000-0005-0000-0000-000044100000}"/>
    <cellStyle name="Normal 2 4 5 2 2 2 4 3 2" xfId="14377" xr:uid="{6AF2FB61-4BE5-4C3C-AEF9-0BFA877702EC}"/>
    <cellStyle name="Normal 2 4 5 2 2 2 4 4" xfId="10159" xr:uid="{D2C8AB9B-041F-4656-831F-175800262A1D}"/>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3799800D-2B1F-44B5-83ED-739E63A17ACC}"/>
    <cellStyle name="Normal 2 4 5 2 2 2 5 2 3" xfId="12717" xr:uid="{F7ACA3C9-36E2-4E12-9903-94FEBCFFDC0C}"/>
    <cellStyle name="Normal 2 4 5 2 2 2 5 3" xfId="6351" xr:uid="{00000000-0005-0000-0000-000048100000}"/>
    <cellStyle name="Normal 2 4 5 2 2 2 5 3 2" xfId="14790" xr:uid="{330484AB-F997-417E-9E44-9CB67CBC735E}"/>
    <cellStyle name="Normal 2 4 5 2 2 2 5 4" xfId="10572" xr:uid="{545D6727-3C7C-48E6-A713-7687F9280538}"/>
    <cellStyle name="Normal 2 4 5 2 2 2 6" xfId="2480" xr:uid="{00000000-0005-0000-0000-000049100000}"/>
    <cellStyle name="Normal 2 4 5 2 2 2 6 2" xfId="6764" xr:uid="{00000000-0005-0000-0000-00004A100000}"/>
    <cellStyle name="Normal 2 4 5 2 2 2 6 2 2" xfId="15203" xr:uid="{B6899A4E-57E2-483A-A0E7-0A4997AF8990}"/>
    <cellStyle name="Normal 2 4 5 2 2 2 6 3" xfId="10985" xr:uid="{4EAB473A-FE19-4F2A-A6E5-C94A93079ACA}"/>
    <cellStyle name="Normal 2 4 5 2 2 2 7" xfId="4698" xr:uid="{00000000-0005-0000-0000-00004B100000}"/>
    <cellStyle name="Normal 2 4 5 2 2 2 7 2" xfId="13137" xr:uid="{FC31BF3C-5E16-435D-8927-B3F7E8A15C08}"/>
    <cellStyle name="Normal 2 4 5 2 2 2 8" xfId="8919" xr:uid="{285DE62D-362E-4C68-9AB9-AE5C6DCDF61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9658D512-F75C-409C-B596-A9CDBDF391D9}"/>
    <cellStyle name="Normal 2 4 5 2 2 3 2 3" xfId="11477" xr:uid="{72627AAE-F560-4116-AF6A-9DA0ACA74913}"/>
    <cellStyle name="Normal 2 4 5 2 2 3 3" xfId="5111" xr:uid="{00000000-0005-0000-0000-00004F100000}"/>
    <cellStyle name="Normal 2 4 5 2 2 3 3 2" xfId="13550" xr:uid="{93FB7032-172F-4BB2-B04B-CFB4691BC0D1}"/>
    <cellStyle name="Normal 2 4 5 2 2 3 4" xfId="9332" xr:uid="{783B30A4-139C-4CC3-8398-D1244F956DD6}"/>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0529E960-F90C-4F02-8A74-BF3986F27892}"/>
    <cellStyle name="Normal 2 4 5 2 2 4 2 3" xfId="11890" xr:uid="{1BD3F65B-586D-4D09-91D6-477A9A73E30C}"/>
    <cellStyle name="Normal 2 4 5 2 2 4 3" xfId="5524" xr:uid="{00000000-0005-0000-0000-000053100000}"/>
    <cellStyle name="Normal 2 4 5 2 2 4 3 2" xfId="13963" xr:uid="{62F84EF1-C3AD-4094-AE92-47841DF37B1C}"/>
    <cellStyle name="Normal 2 4 5 2 2 4 4" xfId="9745" xr:uid="{18964CDE-89C2-45E0-80B4-DAEEA273307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0D52CB95-955D-4A1B-A4E5-19B6C50D245C}"/>
    <cellStyle name="Normal 2 4 5 2 2 5 2 3" xfId="12303" xr:uid="{9482C0D7-37CE-4551-9EB5-04CAB103D45B}"/>
    <cellStyle name="Normal 2 4 5 2 2 5 3" xfId="5937" xr:uid="{00000000-0005-0000-0000-000057100000}"/>
    <cellStyle name="Normal 2 4 5 2 2 5 3 2" xfId="14376" xr:uid="{DBF6158D-7448-4691-B3E1-E0425510E483}"/>
    <cellStyle name="Normal 2 4 5 2 2 5 4" xfId="10158" xr:uid="{D9E9EA84-80BF-4073-8BA0-377CF0A707E2}"/>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388D416E-FF17-45C4-B060-6ABE82242084}"/>
    <cellStyle name="Normal 2 4 5 2 2 6 2 3" xfId="12716" xr:uid="{3EE9799B-2DB5-462C-928B-9312F798D3EB}"/>
    <cellStyle name="Normal 2 4 5 2 2 6 3" xfId="6350" xr:uid="{00000000-0005-0000-0000-00005B100000}"/>
    <cellStyle name="Normal 2 4 5 2 2 6 3 2" xfId="14789" xr:uid="{83F98397-86C2-4571-86C0-713C1FA1E482}"/>
    <cellStyle name="Normal 2 4 5 2 2 6 4" xfId="10571" xr:uid="{2FD87267-DFB7-4204-83C9-5A4A3AE269F6}"/>
    <cellStyle name="Normal 2 4 5 2 2 7" xfId="2479" xr:uid="{00000000-0005-0000-0000-00005C100000}"/>
    <cellStyle name="Normal 2 4 5 2 2 7 2" xfId="6763" xr:uid="{00000000-0005-0000-0000-00005D100000}"/>
    <cellStyle name="Normal 2 4 5 2 2 7 2 2" xfId="15202" xr:uid="{142806F5-B045-4250-AF90-AD008D7693FB}"/>
    <cellStyle name="Normal 2 4 5 2 2 7 3" xfId="10984" xr:uid="{B26CBA6B-4B00-42CF-9B85-7A30C97D2201}"/>
    <cellStyle name="Normal 2 4 5 2 2 8" xfId="4697" xr:uid="{00000000-0005-0000-0000-00005E100000}"/>
    <cellStyle name="Normal 2 4 5 2 2 8 2" xfId="13136" xr:uid="{1D87A47C-C40E-4EBD-AB8B-E075ED894B2C}"/>
    <cellStyle name="Normal 2 4 5 2 2 9" xfId="8918" xr:uid="{EB4BFC4D-D172-4DAA-A715-C5CAEEC7E49E}"/>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9E2F9950-B68D-4839-9EB4-10590F0D91ED}"/>
    <cellStyle name="Normal 2 4 5 2 3 2 2 3" xfId="11479" xr:uid="{3E4F2170-A84A-414F-9F7D-4DB79BC45DFB}"/>
    <cellStyle name="Normal 2 4 5 2 3 2 3" xfId="5113" xr:uid="{00000000-0005-0000-0000-000063100000}"/>
    <cellStyle name="Normal 2 4 5 2 3 2 3 2" xfId="13552" xr:uid="{85ECC3B4-B1DC-45DF-8210-82DB6D281365}"/>
    <cellStyle name="Normal 2 4 5 2 3 2 4" xfId="9334" xr:uid="{6B594890-5486-45D2-BF6F-92EAD2621732}"/>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AA04D490-44B9-4803-9DBC-C3007F5FAC98}"/>
    <cellStyle name="Normal 2 4 5 2 3 3 2 3" xfId="11892" xr:uid="{157AEBA3-75D9-4986-A05B-5151E34EA17B}"/>
    <cellStyle name="Normal 2 4 5 2 3 3 3" xfId="5526" xr:uid="{00000000-0005-0000-0000-000067100000}"/>
    <cellStyle name="Normal 2 4 5 2 3 3 3 2" xfId="13965" xr:uid="{5124ADA5-9310-4ED8-9246-3DF9DBB5D5B7}"/>
    <cellStyle name="Normal 2 4 5 2 3 3 4" xfId="9747" xr:uid="{4AA72B35-BA55-480F-90AE-78E7105D96A7}"/>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3D893B7E-F862-48AE-9727-A4D163BCE411}"/>
    <cellStyle name="Normal 2 4 5 2 3 4 2 3" xfId="12305" xr:uid="{F0294FCD-0A0C-4D69-9D9C-AC614254E429}"/>
    <cellStyle name="Normal 2 4 5 2 3 4 3" xfId="5939" xr:uid="{00000000-0005-0000-0000-00006B100000}"/>
    <cellStyle name="Normal 2 4 5 2 3 4 3 2" xfId="14378" xr:uid="{B1597393-2A08-4272-BC57-E9FFA09603C7}"/>
    <cellStyle name="Normal 2 4 5 2 3 4 4" xfId="10160" xr:uid="{3950CF98-03C3-479D-B99E-B525D383E714}"/>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4A71EC30-EB4A-4862-AAF6-50D6D8EFAAA5}"/>
    <cellStyle name="Normal 2 4 5 2 3 5 2 3" xfId="12718" xr:uid="{1EED4986-732C-4036-9B71-7732C76BF0AA}"/>
    <cellStyle name="Normal 2 4 5 2 3 5 3" xfId="6352" xr:uid="{00000000-0005-0000-0000-00006F100000}"/>
    <cellStyle name="Normal 2 4 5 2 3 5 3 2" xfId="14791" xr:uid="{3344662F-4BB3-438F-87DA-BE52AACF5BA3}"/>
    <cellStyle name="Normal 2 4 5 2 3 5 4" xfId="10573" xr:uid="{DA398DC4-0603-4122-855A-AA1B7058BB34}"/>
    <cellStyle name="Normal 2 4 5 2 3 6" xfId="2481" xr:uid="{00000000-0005-0000-0000-000070100000}"/>
    <cellStyle name="Normal 2 4 5 2 3 6 2" xfId="6765" xr:uid="{00000000-0005-0000-0000-000071100000}"/>
    <cellStyle name="Normal 2 4 5 2 3 6 2 2" xfId="15204" xr:uid="{AD4E97DA-146A-4E1B-9449-2203F18DF3D8}"/>
    <cellStyle name="Normal 2 4 5 2 3 6 3" xfId="10986" xr:uid="{47992FC4-C1C1-417F-80DD-A6553A0A557F}"/>
    <cellStyle name="Normal 2 4 5 2 3 7" xfId="4699" xr:uid="{00000000-0005-0000-0000-000072100000}"/>
    <cellStyle name="Normal 2 4 5 2 3 7 2" xfId="13138" xr:uid="{54742324-30B4-4154-8298-EDA19E3F399A}"/>
    <cellStyle name="Normal 2 4 5 2 3 8" xfId="8920" xr:uid="{F0CDED9F-53B5-47EC-93F7-6927FC4092F4}"/>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AA73D5B1-FB1D-412B-BA87-B880D3C47A2B}"/>
    <cellStyle name="Normal 2 4 5 2 4 2 3" xfId="11476" xr:uid="{DD0DA644-1F00-49A3-BCE1-FC3C4E8EF132}"/>
    <cellStyle name="Normal 2 4 5 2 4 3" xfId="5110" xr:uid="{00000000-0005-0000-0000-000076100000}"/>
    <cellStyle name="Normal 2 4 5 2 4 3 2" xfId="13549" xr:uid="{408A4FA9-733E-4AFC-86B3-B4BF7BF6D38F}"/>
    <cellStyle name="Normal 2 4 5 2 4 4" xfId="9331" xr:uid="{495B8D2C-34A7-4317-B2F6-7E89D73C59E6}"/>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9CC85F19-BA92-4539-964B-F6DB3B400423}"/>
    <cellStyle name="Normal 2 4 5 2 5 2 3" xfId="11889" xr:uid="{35C2E84A-CDB1-4720-B953-365E0C135BC7}"/>
    <cellStyle name="Normal 2 4 5 2 5 3" xfId="5523" xr:uid="{00000000-0005-0000-0000-00007A100000}"/>
    <cellStyle name="Normal 2 4 5 2 5 3 2" xfId="13962" xr:uid="{B427C78C-B50B-4E3F-9EC5-F8383265F64D}"/>
    <cellStyle name="Normal 2 4 5 2 5 4" xfId="9744" xr:uid="{991D2EC3-D87E-4524-B035-082951DE04AC}"/>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EB3312D0-B0EA-49EA-91E9-B645F15ADC03}"/>
    <cellStyle name="Normal 2 4 5 2 6 2 3" xfId="12302" xr:uid="{077AAD54-611B-4DC8-AF0B-3D1CBCB1BF7D}"/>
    <cellStyle name="Normal 2 4 5 2 6 3" xfId="5936" xr:uid="{00000000-0005-0000-0000-00007E100000}"/>
    <cellStyle name="Normal 2 4 5 2 6 3 2" xfId="14375" xr:uid="{2145EE28-70BB-4727-A256-85EF3768DC2E}"/>
    <cellStyle name="Normal 2 4 5 2 6 4" xfId="10157" xr:uid="{CDF465FE-4C67-4502-B6B2-512C18C3BBC3}"/>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461D757F-851E-4173-8BE9-51ACCE4FF78C}"/>
    <cellStyle name="Normal 2 4 5 2 7 2 3" xfId="12715" xr:uid="{CC127D85-A616-40C9-B327-FEBE00BB0031}"/>
    <cellStyle name="Normal 2 4 5 2 7 3" xfId="6349" xr:uid="{00000000-0005-0000-0000-000082100000}"/>
    <cellStyle name="Normal 2 4 5 2 7 3 2" xfId="14788" xr:uid="{CE6D34C9-4713-493E-BC18-0669D5A11FB2}"/>
    <cellStyle name="Normal 2 4 5 2 7 4" xfId="10570" xr:uid="{F22D6F37-0B47-4216-823B-535F56D8BAE1}"/>
    <cellStyle name="Normal 2 4 5 2 8" xfId="2478" xr:uid="{00000000-0005-0000-0000-000083100000}"/>
    <cellStyle name="Normal 2 4 5 2 8 2" xfId="6762" xr:uid="{00000000-0005-0000-0000-000084100000}"/>
    <cellStyle name="Normal 2 4 5 2 8 2 2" xfId="15201" xr:uid="{316CF8AB-3579-405A-B48A-89A018617977}"/>
    <cellStyle name="Normal 2 4 5 2 8 3" xfId="10983" xr:uid="{4975D528-B939-43C6-AD9F-0360288117DA}"/>
    <cellStyle name="Normal 2 4 5 2 9" xfId="4696" xr:uid="{00000000-0005-0000-0000-000085100000}"/>
    <cellStyle name="Normal 2 4 5 2 9 2" xfId="13135" xr:uid="{1D1884F4-0088-467F-AC9F-2444FA90CE5D}"/>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95C9ACDB-727B-4B5D-9D6F-CBBE5FFBF03A}"/>
    <cellStyle name="Normal 2 4 5 3 2 2 2 3" xfId="11481" xr:uid="{F6E4A824-AC83-4F92-B654-BAB483B38CE2}"/>
    <cellStyle name="Normal 2 4 5 3 2 2 3" xfId="5115" xr:uid="{00000000-0005-0000-0000-00008B100000}"/>
    <cellStyle name="Normal 2 4 5 3 2 2 3 2" xfId="13554" xr:uid="{446680FE-A56E-41BD-B8D4-7C653DF7A5DB}"/>
    <cellStyle name="Normal 2 4 5 3 2 2 4" xfId="9336" xr:uid="{E8989D91-C93B-4AEC-B979-3B7BB178E58A}"/>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1EFE4C95-128A-49C4-A59A-E6039B94CEFE}"/>
    <cellStyle name="Normal 2 4 5 3 2 3 2 3" xfId="11894" xr:uid="{242B007A-24E6-4721-8A32-738DFF631ED2}"/>
    <cellStyle name="Normal 2 4 5 3 2 3 3" xfId="5528" xr:uid="{00000000-0005-0000-0000-00008F100000}"/>
    <cellStyle name="Normal 2 4 5 3 2 3 3 2" xfId="13967" xr:uid="{552B4555-1900-4BB8-BCC3-B6A0A159F148}"/>
    <cellStyle name="Normal 2 4 5 3 2 3 4" xfId="9749" xr:uid="{5EF3C10A-D8F3-495B-860F-ED7035CE44EF}"/>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5590C6FB-C080-4BB9-B8F9-0BB28845C083}"/>
    <cellStyle name="Normal 2 4 5 3 2 4 2 3" xfId="12307" xr:uid="{EE45F86C-220D-4FB7-8158-056610E364FB}"/>
    <cellStyle name="Normal 2 4 5 3 2 4 3" xfId="5941" xr:uid="{00000000-0005-0000-0000-000093100000}"/>
    <cellStyle name="Normal 2 4 5 3 2 4 3 2" xfId="14380" xr:uid="{D6993412-D441-42B1-BAFD-B229A6251237}"/>
    <cellStyle name="Normal 2 4 5 3 2 4 4" xfId="10162" xr:uid="{EBAEBCC0-0EDA-480B-BA0A-A2DB17E2CF47}"/>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873BBF91-303F-44CB-AEA3-755F5F446D35}"/>
    <cellStyle name="Normal 2 4 5 3 2 5 2 3" xfId="12720" xr:uid="{2135329B-040D-4462-8270-1F19563B8371}"/>
    <cellStyle name="Normal 2 4 5 3 2 5 3" xfId="6354" xr:uid="{00000000-0005-0000-0000-000097100000}"/>
    <cellStyle name="Normal 2 4 5 3 2 5 3 2" xfId="14793" xr:uid="{2540C38E-8A67-4381-819A-20DB40DD899C}"/>
    <cellStyle name="Normal 2 4 5 3 2 5 4" xfId="10575" xr:uid="{6073A41C-1EAA-449A-B51D-5DF91B840387}"/>
    <cellStyle name="Normal 2 4 5 3 2 6" xfId="2483" xr:uid="{00000000-0005-0000-0000-000098100000}"/>
    <cellStyle name="Normal 2 4 5 3 2 6 2" xfId="6767" xr:uid="{00000000-0005-0000-0000-000099100000}"/>
    <cellStyle name="Normal 2 4 5 3 2 6 2 2" xfId="15206" xr:uid="{0F740B7F-2428-4B20-A7CE-6D34F89AD676}"/>
    <cellStyle name="Normal 2 4 5 3 2 6 3" xfId="10988" xr:uid="{7236F290-590D-4A4C-BCCD-4C84CA49F14A}"/>
    <cellStyle name="Normal 2 4 5 3 2 7" xfId="4701" xr:uid="{00000000-0005-0000-0000-00009A100000}"/>
    <cellStyle name="Normal 2 4 5 3 2 7 2" xfId="13140" xr:uid="{B7D0EE3C-1C24-4469-B74E-1A26C8AC398C}"/>
    <cellStyle name="Normal 2 4 5 3 2 8" xfId="8922" xr:uid="{96A6C85A-2578-48FC-99C4-24A288F0C383}"/>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94CB3A97-6078-47BC-906E-6082CDD57AFC}"/>
    <cellStyle name="Normal 2 4 5 3 3 2 3" xfId="11480" xr:uid="{0B24CC65-9C20-49EC-B202-3A7DB10879EC}"/>
    <cellStyle name="Normal 2 4 5 3 3 3" xfId="5114" xr:uid="{00000000-0005-0000-0000-00009E100000}"/>
    <cellStyle name="Normal 2 4 5 3 3 3 2" xfId="13553" xr:uid="{FBE27E1E-6F00-42B1-85C1-FD49FADBA826}"/>
    <cellStyle name="Normal 2 4 5 3 3 4" xfId="9335" xr:uid="{8E4FD21E-8985-4F4B-8B3D-8FA459D1092D}"/>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BCB40B37-AF3E-4078-8C0A-E08D3E61D552}"/>
    <cellStyle name="Normal 2 4 5 3 4 2 3" xfId="11893" xr:uid="{6C5645A6-22B2-495A-AB63-8B1FD30A70A2}"/>
    <cellStyle name="Normal 2 4 5 3 4 3" xfId="5527" xr:uid="{00000000-0005-0000-0000-0000A2100000}"/>
    <cellStyle name="Normal 2 4 5 3 4 3 2" xfId="13966" xr:uid="{5C47AF91-F202-4994-883E-6F7C8710826F}"/>
    <cellStyle name="Normal 2 4 5 3 4 4" xfId="9748" xr:uid="{A5EC09C4-F718-49E8-8ABE-CC723F8A22B1}"/>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0CDDE371-79A3-4D6F-9427-CB52D4913661}"/>
    <cellStyle name="Normal 2 4 5 3 5 2 3" xfId="12306" xr:uid="{691556D5-ED26-4905-99AB-0F34336996DD}"/>
    <cellStyle name="Normal 2 4 5 3 5 3" xfId="5940" xr:uid="{00000000-0005-0000-0000-0000A6100000}"/>
    <cellStyle name="Normal 2 4 5 3 5 3 2" xfId="14379" xr:uid="{DC60E412-ECE1-41E7-A921-B8B620D5802C}"/>
    <cellStyle name="Normal 2 4 5 3 5 4" xfId="10161" xr:uid="{0EF660AC-3297-410D-A0EE-64CD3673A321}"/>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89B5AB6E-617C-4906-A884-F1AD23AA9F30}"/>
    <cellStyle name="Normal 2 4 5 3 6 2 3" xfId="12719" xr:uid="{68628EC5-CCAA-439F-872B-4AEA5EE7518A}"/>
    <cellStyle name="Normal 2 4 5 3 6 3" xfId="6353" xr:uid="{00000000-0005-0000-0000-0000AA100000}"/>
    <cellStyle name="Normal 2 4 5 3 6 3 2" xfId="14792" xr:uid="{2E004620-A663-40C4-BFBD-CD59C4B09843}"/>
    <cellStyle name="Normal 2 4 5 3 6 4" xfId="10574" xr:uid="{5976CC21-F3F8-48BF-A0EE-6D1C2F466A09}"/>
    <cellStyle name="Normal 2 4 5 3 7" xfId="2482" xr:uid="{00000000-0005-0000-0000-0000AB100000}"/>
    <cellStyle name="Normal 2 4 5 3 7 2" xfId="6766" xr:uid="{00000000-0005-0000-0000-0000AC100000}"/>
    <cellStyle name="Normal 2 4 5 3 7 2 2" xfId="15205" xr:uid="{DE73581F-EFE6-4250-94DE-4260422E9BF4}"/>
    <cellStyle name="Normal 2 4 5 3 7 3" xfId="10987" xr:uid="{ABBA97D9-9095-4EB0-AEC7-7C95F133DF2B}"/>
    <cellStyle name="Normal 2 4 5 3 8" xfId="4700" xr:uid="{00000000-0005-0000-0000-0000AD100000}"/>
    <cellStyle name="Normal 2 4 5 3 8 2" xfId="13139" xr:uid="{1A5C7A3B-FE3D-49C7-9DF7-3695F5856017}"/>
    <cellStyle name="Normal 2 4 5 3 9" xfId="8921" xr:uid="{4A8A5CB4-B98E-4AD0-93EB-8918C3C69B95}"/>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5B337BA2-320A-4BFC-9416-CBB2AF9C758F}"/>
    <cellStyle name="Normal 2 4 5 4 2 2 3" xfId="11482" xr:uid="{8C161544-5E27-41A8-B413-8BD718B6B28B}"/>
    <cellStyle name="Normal 2 4 5 4 2 3" xfId="5116" xr:uid="{00000000-0005-0000-0000-0000B2100000}"/>
    <cellStyle name="Normal 2 4 5 4 2 3 2" xfId="13555" xr:uid="{8C76335B-62B3-466B-9DD5-60B551B0FE2E}"/>
    <cellStyle name="Normal 2 4 5 4 2 4" xfId="9337" xr:uid="{7972981C-319E-49DF-88A4-DADFA7672444}"/>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3BFC3BA2-CF84-4204-8E7C-1C1D6D1EE11F}"/>
    <cellStyle name="Normal 2 4 5 4 3 2 3" xfId="11895" xr:uid="{3381E561-8F84-49A7-BAFC-2EEAC42662B0}"/>
    <cellStyle name="Normal 2 4 5 4 3 3" xfId="5529" xr:uid="{00000000-0005-0000-0000-0000B6100000}"/>
    <cellStyle name="Normal 2 4 5 4 3 3 2" xfId="13968" xr:uid="{40ED6406-AA61-4CFF-AEFF-D758F234AFE2}"/>
    <cellStyle name="Normal 2 4 5 4 3 4" xfId="9750" xr:uid="{98E77792-5F56-4906-8732-6D243C8CA4F0}"/>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31A2D295-7A9F-4DC3-9296-4882786728B3}"/>
    <cellStyle name="Normal 2 4 5 4 4 2 3" xfId="12308" xr:uid="{B4684ED4-4A3A-4381-BFB1-0CAE0FED021A}"/>
    <cellStyle name="Normal 2 4 5 4 4 3" xfId="5942" xr:uid="{00000000-0005-0000-0000-0000BA100000}"/>
    <cellStyle name="Normal 2 4 5 4 4 3 2" xfId="14381" xr:uid="{942C896E-FBAB-4F59-8956-CB12F45C958B}"/>
    <cellStyle name="Normal 2 4 5 4 4 4" xfId="10163" xr:uid="{E5442F4A-1051-40AC-924B-6ADF8AA8AC50}"/>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76B28366-61F1-41C9-A12D-4478631F102D}"/>
    <cellStyle name="Normal 2 4 5 4 5 2 3" xfId="12721" xr:uid="{1DD56AAB-6202-4EF4-9F6B-F1485F681BB4}"/>
    <cellStyle name="Normal 2 4 5 4 5 3" xfId="6355" xr:uid="{00000000-0005-0000-0000-0000BE100000}"/>
    <cellStyle name="Normal 2 4 5 4 5 3 2" xfId="14794" xr:uid="{ADC4D677-D1AE-4DE8-8763-274089112E3B}"/>
    <cellStyle name="Normal 2 4 5 4 5 4" xfId="10576" xr:uid="{40374948-5FB8-4A5E-BF60-9D1D8B49F1A9}"/>
    <cellStyle name="Normal 2 4 5 4 6" xfId="2484" xr:uid="{00000000-0005-0000-0000-0000BF100000}"/>
    <cellStyle name="Normal 2 4 5 4 6 2" xfId="6768" xr:uid="{00000000-0005-0000-0000-0000C0100000}"/>
    <cellStyle name="Normal 2 4 5 4 6 2 2" xfId="15207" xr:uid="{81F25F18-360B-4747-83DC-C5F44949188C}"/>
    <cellStyle name="Normal 2 4 5 4 6 3" xfId="10989" xr:uid="{25861BAB-EA1F-4B75-A4FA-4450FDD191FD}"/>
    <cellStyle name="Normal 2 4 5 4 7" xfId="4702" xr:uid="{00000000-0005-0000-0000-0000C1100000}"/>
    <cellStyle name="Normal 2 4 5 4 7 2" xfId="13141" xr:uid="{EAA25F44-53F7-4307-B9F9-BB2B6637E722}"/>
    <cellStyle name="Normal 2 4 5 4 8" xfId="8923" xr:uid="{10949007-318F-4FC7-9D01-D7AC32BE4E7B}"/>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630043C7-47C4-45A5-B70C-DB63F598F640}"/>
    <cellStyle name="Normal 2 4 5 5 2 3" xfId="11475" xr:uid="{DCAEA16E-C6BF-4DF2-AB78-32C9237570C3}"/>
    <cellStyle name="Normal 2 4 5 5 3" xfId="5109" xr:uid="{00000000-0005-0000-0000-0000C5100000}"/>
    <cellStyle name="Normal 2 4 5 5 3 2" xfId="13548" xr:uid="{EA891E01-E455-400B-A4F2-418DF6D60EF6}"/>
    <cellStyle name="Normal 2 4 5 5 4" xfId="9330" xr:uid="{058AE704-C4F9-46CE-B8A8-2F614D1A17F0}"/>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9C5A066C-A338-41DA-B175-498C8B856EA5}"/>
    <cellStyle name="Normal 2 4 5 6 2 3" xfId="11888" xr:uid="{46917484-1403-41C8-A748-2612E57E2B12}"/>
    <cellStyle name="Normal 2 4 5 6 3" xfId="5522" xr:uid="{00000000-0005-0000-0000-0000C9100000}"/>
    <cellStyle name="Normal 2 4 5 6 3 2" xfId="13961" xr:uid="{6CB9DF8C-E874-46EF-A46B-682E624AA503}"/>
    <cellStyle name="Normal 2 4 5 6 4" xfId="9743" xr:uid="{A5F41153-F3A0-4596-884C-2779B249BED2}"/>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E2EC9B50-82FC-4040-BBD3-49CD3BCCC07B}"/>
    <cellStyle name="Normal 2 4 5 7 2 3" xfId="12301" xr:uid="{7654A46B-806C-4053-AA2E-E5F7490AF755}"/>
    <cellStyle name="Normal 2 4 5 7 3" xfId="5935" xr:uid="{00000000-0005-0000-0000-0000CD100000}"/>
    <cellStyle name="Normal 2 4 5 7 3 2" xfId="14374" xr:uid="{341C256E-A4FE-4A7B-BD6E-AB197BDF25F5}"/>
    <cellStyle name="Normal 2 4 5 7 4" xfId="10156" xr:uid="{C6EB890B-BDD3-4C36-8F25-5D3241453712}"/>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80D0895A-9566-4295-81E0-0538C7387AE0}"/>
    <cellStyle name="Normal 2 4 5 8 2 3" xfId="12714" xr:uid="{835AC782-BE4A-4E6F-95CC-8A88A39545FC}"/>
    <cellStyle name="Normal 2 4 5 8 3" xfId="6348" xr:uid="{00000000-0005-0000-0000-0000D1100000}"/>
    <cellStyle name="Normal 2 4 5 8 3 2" xfId="14787" xr:uid="{F589BA45-17D6-4865-A70A-A0F31C196BF3}"/>
    <cellStyle name="Normal 2 4 5 8 4" xfId="10569" xr:uid="{9A474D6B-0719-4EC7-AFB7-C905E1EA5531}"/>
    <cellStyle name="Normal 2 4 5 9" xfId="2477" xr:uid="{00000000-0005-0000-0000-0000D2100000}"/>
    <cellStyle name="Normal 2 4 5 9 2" xfId="6761" xr:uid="{00000000-0005-0000-0000-0000D3100000}"/>
    <cellStyle name="Normal 2 4 5 9 2 2" xfId="15200" xr:uid="{448DD61D-CC6A-43ED-AADC-B0C96AB1DE72}"/>
    <cellStyle name="Normal 2 4 5 9 3" xfId="10982" xr:uid="{7632966A-1871-4007-A5A8-DC2910BE38F6}"/>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00775C91-CFF2-4DD1-90D0-A4421A58DD66}"/>
    <cellStyle name="Normal 2 4 7 2 2 2 3" xfId="11484" xr:uid="{9817EFFC-0528-4457-AFA7-7091C0164395}"/>
    <cellStyle name="Normal 2 4 7 2 2 3" xfId="5118" xr:uid="{00000000-0005-0000-0000-0000DA100000}"/>
    <cellStyle name="Normal 2 4 7 2 2 3 2" xfId="13557" xr:uid="{8B6F2EAB-BA19-4AAD-8B1B-CCBE4EF421E3}"/>
    <cellStyle name="Normal 2 4 7 2 2 4" xfId="9339" xr:uid="{1C733609-BE62-47A5-BE5C-CBF425874412}"/>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2AB6CD0B-07C5-437A-8D85-EE8D597EEE30}"/>
    <cellStyle name="Normal 2 4 7 2 3 2 3" xfId="11897" xr:uid="{39E20303-F87F-43C7-B2CF-1DF1F2061C31}"/>
    <cellStyle name="Normal 2 4 7 2 3 3" xfId="5531" xr:uid="{00000000-0005-0000-0000-0000DE100000}"/>
    <cellStyle name="Normal 2 4 7 2 3 3 2" xfId="13970" xr:uid="{7B8E58FD-6AD9-4D76-9547-C60223936FC4}"/>
    <cellStyle name="Normal 2 4 7 2 3 4" xfId="9752" xr:uid="{C0404958-27D7-44FC-914B-793FFC2DE959}"/>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65919BDF-948E-49E5-AD73-742ED13559D6}"/>
    <cellStyle name="Normal 2 4 7 2 4 2 3" xfId="12310" xr:uid="{CCF512D5-6739-4B74-8005-136CF597E94A}"/>
    <cellStyle name="Normal 2 4 7 2 4 3" xfId="5944" xr:uid="{00000000-0005-0000-0000-0000E2100000}"/>
    <cellStyle name="Normal 2 4 7 2 4 3 2" xfId="14383" xr:uid="{7DED8C3A-B4CF-4FF2-99D1-164AF15A5929}"/>
    <cellStyle name="Normal 2 4 7 2 4 4" xfId="10165" xr:uid="{1A766550-CBA5-4340-BAC4-4BFB3DD7D5A2}"/>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ACD89E9C-33D1-403C-9FD2-F6A8F3B3A5D1}"/>
    <cellStyle name="Normal 2 4 7 2 5 2 3" xfId="12723" xr:uid="{730F57F7-C7C4-40F7-8F31-F6D00274A447}"/>
    <cellStyle name="Normal 2 4 7 2 5 3" xfId="6357" xr:uid="{00000000-0005-0000-0000-0000E6100000}"/>
    <cellStyle name="Normal 2 4 7 2 5 3 2" xfId="14796" xr:uid="{BA58A75B-2EE0-41E3-9CD7-EA3E7E13637E}"/>
    <cellStyle name="Normal 2 4 7 2 5 4" xfId="10578" xr:uid="{9D88FC6E-50A7-402C-BF46-B9B093ACCC25}"/>
    <cellStyle name="Normal 2 4 7 2 6" xfId="2486" xr:uid="{00000000-0005-0000-0000-0000E7100000}"/>
    <cellStyle name="Normal 2 4 7 2 6 2" xfId="6770" xr:uid="{00000000-0005-0000-0000-0000E8100000}"/>
    <cellStyle name="Normal 2 4 7 2 6 2 2" xfId="15209" xr:uid="{3F678EBA-C059-442E-BB4B-D56C9F39CF6F}"/>
    <cellStyle name="Normal 2 4 7 2 6 3" xfId="10991" xr:uid="{4E9534BA-682F-4640-B151-F6B9C5A93494}"/>
    <cellStyle name="Normal 2 4 7 2 7" xfId="4704" xr:uid="{00000000-0005-0000-0000-0000E9100000}"/>
    <cellStyle name="Normal 2 4 7 2 7 2" xfId="13143" xr:uid="{3F42C691-7526-42D3-8144-F8CF2D978279}"/>
    <cellStyle name="Normal 2 4 7 2 8" xfId="8925" xr:uid="{E93EB82F-1889-48BF-A14A-CFB1A1E1AAD3}"/>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BDEAF353-A452-4437-A3AC-E50D17B8D3D1}"/>
    <cellStyle name="Normal 2 4 7 3 2 3" xfId="11483" xr:uid="{1F494526-1E0D-44F1-B83B-1FC9760F2464}"/>
    <cellStyle name="Normal 2 4 7 3 3" xfId="5117" xr:uid="{00000000-0005-0000-0000-0000ED100000}"/>
    <cellStyle name="Normal 2 4 7 3 3 2" xfId="13556" xr:uid="{4C466615-3256-4BA9-943B-26C60C559382}"/>
    <cellStyle name="Normal 2 4 7 3 4" xfId="9338" xr:uid="{C5EAFE54-D01C-431D-9394-35327838FF75}"/>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23F017E4-5179-429D-8183-638C1F71364F}"/>
    <cellStyle name="Normal 2 4 7 4 2 3" xfId="11896" xr:uid="{7AD15B40-A2E8-4BC8-9EF9-2CECB425A7E2}"/>
    <cellStyle name="Normal 2 4 7 4 3" xfId="5530" xr:uid="{00000000-0005-0000-0000-0000F1100000}"/>
    <cellStyle name="Normal 2 4 7 4 3 2" xfId="13969" xr:uid="{F6BC7D0C-47C0-4DE8-ACC4-06AA6F96B3CA}"/>
    <cellStyle name="Normal 2 4 7 4 4" xfId="9751" xr:uid="{A78B938A-6681-4164-B31D-91288945149D}"/>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968B0CBA-A207-493A-91B6-E2A5817375E2}"/>
    <cellStyle name="Normal 2 4 7 5 2 3" xfId="12309" xr:uid="{01B13D36-4DDF-4625-97E1-AD451E3CE77D}"/>
    <cellStyle name="Normal 2 4 7 5 3" xfId="5943" xr:uid="{00000000-0005-0000-0000-0000F5100000}"/>
    <cellStyle name="Normal 2 4 7 5 3 2" xfId="14382" xr:uid="{8825C972-3343-48E2-83A2-7B0D5CEF418D}"/>
    <cellStyle name="Normal 2 4 7 5 4" xfId="10164" xr:uid="{38E02439-A889-447C-8D03-096C29443340}"/>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C7FF329F-7FD0-4AB5-9D14-DA3EFA7CA434}"/>
    <cellStyle name="Normal 2 4 7 6 2 3" xfId="12722" xr:uid="{32ABF33C-9A86-43CA-8BFF-8D4A846ACE4F}"/>
    <cellStyle name="Normal 2 4 7 6 3" xfId="6356" xr:uid="{00000000-0005-0000-0000-0000F9100000}"/>
    <cellStyle name="Normal 2 4 7 6 3 2" xfId="14795" xr:uid="{3FE12E73-F444-43C7-BE08-D38EC60A82E0}"/>
    <cellStyle name="Normal 2 4 7 6 4" xfId="10577" xr:uid="{C4CE53E6-8034-4591-B727-929160808103}"/>
    <cellStyle name="Normal 2 4 7 7" xfId="2485" xr:uid="{00000000-0005-0000-0000-0000FA100000}"/>
    <cellStyle name="Normal 2 4 7 7 2" xfId="6769" xr:uid="{00000000-0005-0000-0000-0000FB100000}"/>
    <cellStyle name="Normal 2 4 7 7 2 2" xfId="15208" xr:uid="{E21534AE-B1BE-44C9-A2E3-5376574BA664}"/>
    <cellStyle name="Normal 2 4 7 7 3" xfId="10990" xr:uid="{1C0CFFDD-1009-413F-932F-8FC2ABB1D481}"/>
    <cellStyle name="Normal 2 4 7 8" xfId="4703" xr:uid="{00000000-0005-0000-0000-0000FC100000}"/>
    <cellStyle name="Normal 2 4 7 8 2" xfId="13142" xr:uid="{9B776E2B-F2A7-4B31-BFBA-CDA03F48B849}"/>
    <cellStyle name="Normal 2 4 7 9" xfId="8924" xr:uid="{C4261ABC-2928-47D7-AC25-4F8766FE3E73}"/>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CDD4F546-CA1D-4D97-BFF1-BB218B29F3F0}"/>
    <cellStyle name="Normal 2 4 8 2 2 3" xfId="11485" xr:uid="{DEBF293E-6DCE-43DF-9692-6EB255C2F261}"/>
    <cellStyle name="Normal 2 4 8 2 3" xfId="5119" xr:uid="{00000000-0005-0000-0000-000001110000}"/>
    <cellStyle name="Normal 2 4 8 2 3 2" xfId="13558" xr:uid="{386AC4D0-9A66-475F-98B8-7663190058B5}"/>
    <cellStyle name="Normal 2 4 8 2 4" xfId="9340" xr:uid="{153E7C56-E35E-4155-855B-F5EBFC186984}"/>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225C23CD-AC8A-4796-8353-970AFAF7EE4A}"/>
    <cellStyle name="Normal 2 4 8 3 2 3" xfId="11898" xr:uid="{DB75F328-88FD-475A-913D-B81C2AC6B132}"/>
    <cellStyle name="Normal 2 4 8 3 3" xfId="5532" xr:uid="{00000000-0005-0000-0000-000005110000}"/>
    <cellStyle name="Normal 2 4 8 3 3 2" xfId="13971" xr:uid="{BA80C37F-2FF3-47E9-9CDA-B6EAAEE6206D}"/>
    <cellStyle name="Normal 2 4 8 3 4" xfId="9753" xr:uid="{DFB64544-9ADA-4A8B-BFFD-1F363085B238}"/>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491CEBF9-886F-49F8-9A22-D278FE728E10}"/>
    <cellStyle name="Normal 2 4 8 4 2 3" xfId="12311" xr:uid="{88E54131-E96D-4E3B-9838-A59020513122}"/>
    <cellStyle name="Normal 2 4 8 4 3" xfId="5945" xr:uid="{00000000-0005-0000-0000-000009110000}"/>
    <cellStyle name="Normal 2 4 8 4 3 2" xfId="14384" xr:uid="{28929435-3694-427F-80E9-AF77010261ED}"/>
    <cellStyle name="Normal 2 4 8 4 4" xfId="10166" xr:uid="{99B059BB-EA7E-4702-92DD-46C4FF7B5478}"/>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02E079D8-078D-4B13-BA8B-EA09B1B1E8F3}"/>
    <cellStyle name="Normal 2 4 8 5 2 3" xfId="12724" xr:uid="{FF48D835-8CCE-4C75-94A9-62DB8C56B330}"/>
    <cellStyle name="Normal 2 4 8 5 3" xfId="6358" xr:uid="{00000000-0005-0000-0000-00000D110000}"/>
    <cellStyle name="Normal 2 4 8 5 3 2" xfId="14797" xr:uid="{2518B131-CEA6-49D1-BB2B-8D0705757658}"/>
    <cellStyle name="Normal 2 4 8 5 4" xfId="10579" xr:uid="{952D9CE2-6104-46C5-A6D9-AD9F005C9395}"/>
    <cellStyle name="Normal 2 4 8 6" xfId="2487" xr:uid="{00000000-0005-0000-0000-00000E110000}"/>
    <cellStyle name="Normal 2 4 8 6 2" xfId="6771" xr:uid="{00000000-0005-0000-0000-00000F110000}"/>
    <cellStyle name="Normal 2 4 8 6 2 2" xfId="15210" xr:uid="{AF8C437D-6EF4-4539-A839-8DF7E34730BC}"/>
    <cellStyle name="Normal 2 4 8 6 3" xfId="10992" xr:uid="{52D20A79-CAB2-4625-82CF-083115C665E7}"/>
    <cellStyle name="Normal 2 4 8 7" xfId="4705" xr:uid="{00000000-0005-0000-0000-000010110000}"/>
    <cellStyle name="Normal 2 4 8 7 2" xfId="13144" xr:uid="{30C2CC0F-863D-4693-BCFB-89D860B59405}"/>
    <cellStyle name="Normal 2 4 8 8" xfId="8926" xr:uid="{63A76DC1-006B-4AC0-B768-B29F49598314}"/>
    <cellStyle name="Normal 2 5" xfId="315" xr:uid="{00000000-0005-0000-0000-000011110000}"/>
    <cellStyle name="Normal 2 5 10" xfId="4706" xr:uid="{00000000-0005-0000-0000-000012110000}"/>
    <cellStyle name="Normal 2 5 10 2" xfId="13145" xr:uid="{5108E181-F4C3-4373-9264-663F1D7C3779}"/>
    <cellStyle name="Normal 2 5 11" xfId="8927" xr:uid="{5DB0F443-1A0B-4501-9F52-02B6D3022409}"/>
    <cellStyle name="Normal 2 5 2" xfId="316" xr:uid="{00000000-0005-0000-0000-000013110000}"/>
    <cellStyle name="Normal 2 5 3" xfId="317" xr:uid="{00000000-0005-0000-0000-000014110000}"/>
    <cellStyle name="Normal 2 5 4" xfId="318" xr:uid="{00000000-0005-0000-0000-000015110000}"/>
    <cellStyle name="Normal 2 5 4 10" xfId="8928" xr:uid="{20BEDB55-707B-4D80-A05E-2F46E5B98645}"/>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F86062A7-1293-4480-B8F2-8E92A43431CC}"/>
    <cellStyle name="Normal 2 5 4 2 2 2 2 3" xfId="11489" xr:uid="{48E6CAAF-FCF8-4DD1-B451-3CE26CD896F2}"/>
    <cellStyle name="Normal 2 5 4 2 2 2 3" xfId="5123" xr:uid="{00000000-0005-0000-0000-00001B110000}"/>
    <cellStyle name="Normal 2 5 4 2 2 2 3 2" xfId="13562" xr:uid="{64BAD511-F074-408E-8B4E-BED28503470C}"/>
    <cellStyle name="Normal 2 5 4 2 2 2 4" xfId="9344" xr:uid="{9C554E2B-1C77-44B0-8A0F-7DD633B40F45}"/>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AB579242-19B9-4266-A4BF-4B25D0109DF3}"/>
    <cellStyle name="Normal 2 5 4 2 2 3 2 3" xfId="11902" xr:uid="{619DDA37-A9F2-43FE-AA1D-A53E8FC737F0}"/>
    <cellStyle name="Normal 2 5 4 2 2 3 3" xfId="5536" xr:uid="{00000000-0005-0000-0000-00001F110000}"/>
    <cellStyle name="Normal 2 5 4 2 2 3 3 2" xfId="13975" xr:uid="{277685CA-0729-4DF8-930C-9DBBFEEA1BEA}"/>
    <cellStyle name="Normal 2 5 4 2 2 3 4" xfId="9757" xr:uid="{D7CDF648-8F86-4420-B9E3-CB1A05E1BE94}"/>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903E5473-4679-4BB1-9CA8-BD71EB19394D}"/>
    <cellStyle name="Normal 2 5 4 2 2 4 2 3" xfId="12315" xr:uid="{13D735DC-1F82-4726-B138-796E3F5715A6}"/>
    <cellStyle name="Normal 2 5 4 2 2 4 3" xfId="5949" xr:uid="{00000000-0005-0000-0000-000023110000}"/>
    <cellStyle name="Normal 2 5 4 2 2 4 3 2" xfId="14388" xr:uid="{6D5083B5-D1D2-48BD-9E9E-D032D23000AF}"/>
    <cellStyle name="Normal 2 5 4 2 2 4 4" xfId="10170" xr:uid="{5DC43013-D8C1-47B4-B94F-5122E2DB27AA}"/>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6CEA3E21-7BF8-4A35-BD33-E3F720FCD0AD}"/>
    <cellStyle name="Normal 2 5 4 2 2 5 2 3" xfId="12728" xr:uid="{373EC077-5C8C-452F-97D6-1EF9592BF2D8}"/>
    <cellStyle name="Normal 2 5 4 2 2 5 3" xfId="6362" xr:uid="{00000000-0005-0000-0000-000027110000}"/>
    <cellStyle name="Normal 2 5 4 2 2 5 3 2" xfId="14801" xr:uid="{397F937E-27E6-4DA2-81B6-14AD6050E2AC}"/>
    <cellStyle name="Normal 2 5 4 2 2 5 4" xfId="10583" xr:uid="{BF782A62-A833-4717-A0D8-82D32AF66C03}"/>
    <cellStyle name="Normal 2 5 4 2 2 6" xfId="2491" xr:uid="{00000000-0005-0000-0000-000028110000}"/>
    <cellStyle name="Normal 2 5 4 2 2 6 2" xfId="6775" xr:uid="{00000000-0005-0000-0000-000029110000}"/>
    <cellStyle name="Normal 2 5 4 2 2 6 2 2" xfId="15214" xr:uid="{5F5A3B6A-E536-4662-9FB2-868A9CA568B6}"/>
    <cellStyle name="Normal 2 5 4 2 2 6 3" xfId="10996" xr:uid="{ABB8DF47-287B-4740-A0F8-ECE9E4DF0FDD}"/>
    <cellStyle name="Normal 2 5 4 2 2 7" xfId="4709" xr:uid="{00000000-0005-0000-0000-00002A110000}"/>
    <cellStyle name="Normal 2 5 4 2 2 7 2" xfId="13148" xr:uid="{276080E5-52D4-47C1-AF0A-1B50D9CC7B6F}"/>
    <cellStyle name="Normal 2 5 4 2 2 8" xfId="8930" xr:uid="{A40A11B3-CBDB-49B7-AB5C-BDA641932F43}"/>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C7F52D17-F145-4B93-87C6-140B0490D19A}"/>
    <cellStyle name="Normal 2 5 4 2 3 2 3" xfId="11488" xr:uid="{B6FF787B-2B99-405C-9956-F1F76A545A86}"/>
    <cellStyle name="Normal 2 5 4 2 3 3" xfId="5122" xr:uid="{00000000-0005-0000-0000-00002E110000}"/>
    <cellStyle name="Normal 2 5 4 2 3 3 2" xfId="13561" xr:uid="{B3C54FE0-08E9-411E-813D-4C3A8786ACE2}"/>
    <cellStyle name="Normal 2 5 4 2 3 4" xfId="9343" xr:uid="{2EDAC23B-D305-4193-BF2C-01CD1D65D1BB}"/>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CB07287C-4AA3-4661-B3C3-D4D3199B9C23}"/>
    <cellStyle name="Normal 2 5 4 2 4 2 3" xfId="11901" xr:uid="{73C86522-08C9-4232-9076-00F4415705A2}"/>
    <cellStyle name="Normal 2 5 4 2 4 3" xfId="5535" xr:uid="{00000000-0005-0000-0000-000032110000}"/>
    <cellStyle name="Normal 2 5 4 2 4 3 2" xfId="13974" xr:uid="{DCA5933A-3E9F-4C88-9072-A5E7D88BEE64}"/>
    <cellStyle name="Normal 2 5 4 2 4 4" xfId="9756" xr:uid="{A7734761-687E-44DD-AF70-65309E394D3F}"/>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520E2EFB-ACF3-48A1-8B04-ED6C1AEE071E}"/>
    <cellStyle name="Normal 2 5 4 2 5 2 3" xfId="12314" xr:uid="{E9C44DE7-4FED-4F2F-829B-66D37EBA7A3E}"/>
    <cellStyle name="Normal 2 5 4 2 5 3" xfId="5948" xr:uid="{00000000-0005-0000-0000-000036110000}"/>
    <cellStyle name="Normal 2 5 4 2 5 3 2" xfId="14387" xr:uid="{833FA58B-4FC1-4744-A81E-00A962D595DB}"/>
    <cellStyle name="Normal 2 5 4 2 5 4" xfId="10169" xr:uid="{B724A85B-55AC-47A3-9454-2CD4BF21CDE8}"/>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03DE9A97-A133-4106-A5BE-6CB54A346491}"/>
    <cellStyle name="Normal 2 5 4 2 6 2 3" xfId="12727" xr:uid="{6B81BEDB-EC01-4A2E-A9ED-FFD354DD92CE}"/>
    <cellStyle name="Normal 2 5 4 2 6 3" xfId="6361" xr:uid="{00000000-0005-0000-0000-00003A110000}"/>
    <cellStyle name="Normal 2 5 4 2 6 3 2" xfId="14800" xr:uid="{530FA63D-53CF-49A8-8999-3797670E360B}"/>
    <cellStyle name="Normal 2 5 4 2 6 4" xfId="10582" xr:uid="{2D84A244-FFF6-4CED-9866-421FF8C4B472}"/>
    <cellStyle name="Normal 2 5 4 2 7" xfId="2490" xr:uid="{00000000-0005-0000-0000-00003B110000}"/>
    <cellStyle name="Normal 2 5 4 2 7 2" xfId="6774" xr:uid="{00000000-0005-0000-0000-00003C110000}"/>
    <cellStyle name="Normal 2 5 4 2 7 2 2" xfId="15213" xr:uid="{EE00F461-3075-4DD1-84BA-1B5BDD96534A}"/>
    <cellStyle name="Normal 2 5 4 2 7 3" xfId="10995" xr:uid="{F73D4F7B-5C17-4122-BBC7-D079E3B2CAC9}"/>
    <cellStyle name="Normal 2 5 4 2 8" xfId="4708" xr:uid="{00000000-0005-0000-0000-00003D110000}"/>
    <cellStyle name="Normal 2 5 4 2 8 2" xfId="13147" xr:uid="{AC1DDDC3-057E-467C-A33A-8D4C1E8C4482}"/>
    <cellStyle name="Normal 2 5 4 2 9" xfId="8929" xr:uid="{DD027A61-70B9-41B3-A35A-D893667A849C}"/>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67025FD6-BDD9-41B1-84E8-D538321E449C}"/>
    <cellStyle name="Normal 2 5 4 3 2 2 3" xfId="11490" xr:uid="{868D060E-BA8D-4FC6-AE22-ECF3027DD527}"/>
    <cellStyle name="Normal 2 5 4 3 2 3" xfId="5124" xr:uid="{00000000-0005-0000-0000-000042110000}"/>
    <cellStyle name="Normal 2 5 4 3 2 3 2" xfId="13563" xr:uid="{0738D172-4518-4A6A-B10C-9AA558A4A924}"/>
    <cellStyle name="Normal 2 5 4 3 2 4" xfId="9345" xr:uid="{BA1358F1-AD3A-4996-BB99-FF7133ADDE55}"/>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2DD9E6C9-905F-434D-8980-827849E24F27}"/>
    <cellStyle name="Normal 2 5 4 3 3 2 3" xfId="11903" xr:uid="{A6F0334A-0290-4443-B9E1-8215E93A262D}"/>
    <cellStyle name="Normal 2 5 4 3 3 3" xfId="5537" xr:uid="{00000000-0005-0000-0000-000046110000}"/>
    <cellStyle name="Normal 2 5 4 3 3 3 2" xfId="13976" xr:uid="{4B395470-5E79-4611-B5E7-6A8A2E058E56}"/>
    <cellStyle name="Normal 2 5 4 3 3 4" xfId="9758" xr:uid="{896959F5-FC58-4D2C-B459-EAF06BD15109}"/>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A99AFEED-3553-41C7-97CE-586311DC8BEC}"/>
    <cellStyle name="Normal 2 5 4 3 4 2 3" xfId="12316" xr:uid="{66C5B431-C2AC-4CE2-8496-AE652FF02E3F}"/>
    <cellStyle name="Normal 2 5 4 3 4 3" xfId="5950" xr:uid="{00000000-0005-0000-0000-00004A110000}"/>
    <cellStyle name="Normal 2 5 4 3 4 3 2" xfId="14389" xr:uid="{415DBCF0-AED1-4AF0-AC3D-CE77246918B2}"/>
    <cellStyle name="Normal 2 5 4 3 4 4" xfId="10171" xr:uid="{8FBCCB6B-0D8F-4625-9649-8E19840F958A}"/>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4242AE35-2F38-468A-8B02-C5FA35536DAD}"/>
    <cellStyle name="Normal 2 5 4 3 5 2 3" xfId="12729" xr:uid="{EE64C773-67FD-4BE5-B0EA-6F2B6109EC71}"/>
    <cellStyle name="Normal 2 5 4 3 5 3" xfId="6363" xr:uid="{00000000-0005-0000-0000-00004E110000}"/>
    <cellStyle name="Normal 2 5 4 3 5 3 2" xfId="14802" xr:uid="{285AC780-3448-4AD2-B7A1-1B2BC026C264}"/>
    <cellStyle name="Normal 2 5 4 3 5 4" xfId="10584" xr:uid="{C234028A-B16D-4644-879F-8A58459D4987}"/>
    <cellStyle name="Normal 2 5 4 3 6" xfId="2492" xr:uid="{00000000-0005-0000-0000-00004F110000}"/>
    <cellStyle name="Normal 2 5 4 3 6 2" xfId="6776" xr:uid="{00000000-0005-0000-0000-000050110000}"/>
    <cellStyle name="Normal 2 5 4 3 6 2 2" xfId="15215" xr:uid="{5653D91D-C6CF-4683-BA0F-DBCC7DCBDB22}"/>
    <cellStyle name="Normal 2 5 4 3 6 3" xfId="10997" xr:uid="{CB6166B2-2E5C-4624-9CD4-2F4897526B5E}"/>
    <cellStyle name="Normal 2 5 4 3 7" xfId="4710" xr:uid="{00000000-0005-0000-0000-000051110000}"/>
    <cellStyle name="Normal 2 5 4 3 7 2" xfId="13149" xr:uid="{522A5296-6D8F-4E59-AF6A-1684F50F7EFB}"/>
    <cellStyle name="Normal 2 5 4 3 8" xfId="8931" xr:uid="{7F9CEC11-1CA2-4B92-B4E6-CEDEF5FDB90B}"/>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AA678325-D55A-409B-B9F0-BB78240AB746}"/>
    <cellStyle name="Normal 2 5 4 4 2 3" xfId="11487" xr:uid="{F183CDE0-1BFC-4912-AE78-AA2847F18FDB}"/>
    <cellStyle name="Normal 2 5 4 4 3" xfId="5121" xr:uid="{00000000-0005-0000-0000-000055110000}"/>
    <cellStyle name="Normal 2 5 4 4 3 2" xfId="13560" xr:uid="{A6634F5D-3B71-4DFC-AD23-1EA722666BBD}"/>
    <cellStyle name="Normal 2 5 4 4 4" xfId="9342" xr:uid="{7BA2DD2B-AB66-4EEF-8233-CA67A44317AB}"/>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0EA09B31-161A-443C-AC39-57A5814D28B8}"/>
    <cellStyle name="Normal 2 5 4 5 2 3" xfId="11900" xr:uid="{0498F932-D4EC-4986-AD37-D75FAB9A5F1A}"/>
    <cellStyle name="Normal 2 5 4 5 3" xfId="5534" xr:uid="{00000000-0005-0000-0000-000059110000}"/>
    <cellStyle name="Normal 2 5 4 5 3 2" xfId="13973" xr:uid="{49983A7E-30B5-4489-9AE3-8FF47C556F1A}"/>
    <cellStyle name="Normal 2 5 4 5 4" xfId="9755" xr:uid="{D3A1B38D-0DA8-4B0B-A8C1-7BE0FC4F9C65}"/>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2BF38F61-F3C7-455E-8E3E-D74FD6A31E1E}"/>
    <cellStyle name="Normal 2 5 4 6 2 3" xfId="12313" xr:uid="{B81E1660-4415-4D2A-BEA7-255DD85D2C37}"/>
    <cellStyle name="Normal 2 5 4 6 3" xfId="5947" xr:uid="{00000000-0005-0000-0000-00005D110000}"/>
    <cellStyle name="Normal 2 5 4 6 3 2" xfId="14386" xr:uid="{C89D6035-DD4E-43F8-84F0-550957104054}"/>
    <cellStyle name="Normal 2 5 4 6 4" xfId="10168" xr:uid="{5E16D9A1-E188-43E7-8A3B-CF744B90F936}"/>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E4DD46C7-08B1-4078-A20D-D4CC7D5CAC1D}"/>
    <cellStyle name="Normal 2 5 4 7 2 3" xfId="12726" xr:uid="{58C4E1F6-26F8-468C-9B57-E5B64ECDD73F}"/>
    <cellStyle name="Normal 2 5 4 7 3" xfId="6360" xr:uid="{00000000-0005-0000-0000-000061110000}"/>
    <cellStyle name="Normal 2 5 4 7 3 2" xfId="14799" xr:uid="{503C8826-3E5F-4FC6-A49E-728689B395FA}"/>
    <cellStyle name="Normal 2 5 4 7 4" xfId="10581" xr:uid="{CA100C66-53E1-4846-A86B-306D7CFB9FAC}"/>
    <cellStyle name="Normal 2 5 4 8" xfId="2489" xr:uid="{00000000-0005-0000-0000-000062110000}"/>
    <cellStyle name="Normal 2 5 4 8 2" xfId="6773" xr:uid="{00000000-0005-0000-0000-000063110000}"/>
    <cellStyle name="Normal 2 5 4 8 2 2" xfId="15212" xr:uid="{E2104C84-A047-4F1D-A27B-0E644AF7A0DD}"/>
    <cellStyle name="Normal 2 5 4 8 3" xfId="10994" xr:uid="{224E387E-7D9A-4CB9-A4C3-4410B2922B58}"/>
    <cellStyle name="Normal 2 5 4 9" xfId="4707" xr:uid="{00000000-0005-0000-0000-000064110000}"/>
    <cellStyle name="Normal 2 5 4 9 2" xfId="13146" xr:uid="{6C7E87C9-7348-405A-B4D9-345235A6514B}"/>
    <cellStyle name="Normal 2 5 5" xfId="803" xr:uid="{00000000-0005-0000-0000-000065110000}"/>
    <cellStyle name="Normal 2 5 5 2" xfId="3042" xr:uid="{00000000-0005-0000-0000-000066110000}"/>
    <cellStyle name="Normal 2 5 5 2 2" xfId="7265" xr:uid="{00000000-0005-0000-0000-000067110000}"/>
    <cellStyle name="Normal 2 5 5 2 2 2" xfId="15704" xr:uid="{8D3B84C8-2453-40C6-A12E-9745A35D8789}"/>
    <cellStyle name="Normal 2 5 5 2 3" xfId="11486" xr:uid="{C8EF0BF5-2E94-44FD-B5B6-2090BFE4867B}"/>
    <cellStyle name="Normal 2 5 5 3" xfId="5120" xr:uid="{00000000-0005-0000-0000-000068110000}"/>
    <cellStyle name="Normal 2 5 5 3 2" xfId="13559" xr:uid="{E78076C3-55FE-496B-A63E-02CF41EB5D5C}"/>
    <cellStyle name="Normal 2 5 5 4" xfId="9341" xr:uid="{8CB26AD3-AB8F-4BFD-8992-33C69B59C85F}"/>
    <cellStyle name="Normal 2 5 6" xfId="1225" xr:uid="{00000000-0005-0000-0000-000069110000}"/>
    <cellStyle name="Normal 2 5 6 2" xfId="3455" xr:uid="{00000000-0005-0000-0000-00006A110000}"/>
    <cellStyle name="Normal 2 5 6 2 2" xfId="7678" xr:uid="{00000000-0005-0000-0000-00006B110000}"/>
    <cellStyle name="Normal 2 5 6 2 2 2" xfId="16117" xr:uid="{17709323-3BE7-4CCF-8D61-BF6480CDD1B4}"/>
    <cellStyle name="Normal 2 5 6 2 3" xfId="11899" xr:uid="{B51A02D8-F9D0-4428-90CE-F97FFC6B4604}"/>
    <cellStyle name="Normal 2 5 6 3" xfId="5533" xr:uid="{00000000-0005-0000-0000-00006C110000}"/>
    <cellStyle name="Normal 2 5 6 3 2" xfId="13972" xr:uid="{AFF940FE-8DAC-46F4-8D9D-D5A7BD776668}"/>
    <cellStyle name="Normal 2 5 6 4" xfId="9754" xr:uid="{6586B3F1-9430-43F2-874F-E762107E8A1F}"/>
    <cellStyle name="Normal 2 5 7" xfId="1638" xr:uid="{00000000-0005-0000-0000-00006D110000}"/>
    <cellStyle name="Normal 2 5 7 2" xfId="3868" xr:uid="{00000000-0005-0000-0000-00006E110000}"/>
    <cellStyle name="Normal 2 5 7 2 2" xfId="8091" xr:uid="{00000000-0005-0000-0000-00006F110000}"/>
    <cellStyle name="Normal 2 5 7 2 2 2" xfId="16530" xr:uid="{F36C46D3-F390-403C-9125-ACCF98FED95B}"/>
    <cellStyle name="Normal 2 5 7 2 3" xfId="12312" xr:uid="{6081D707-682D-49D1-B3F3-2EB5BA293737}"/>
    <cellStyle name="Normal 2 5 7 3" xfId="5946" xr:uid="{00000000-0005-0000-0000-000070110000}"/>
    <cellStyle name="Normal 2 5 7 3 2" xfId="14385" xr:uid="{D51BEDB7-D891-40B4-AA8D-D8A4F7C2EF22}"/>
    <cellStyle name="Normal 2 5 7 4" xfId="10167" xr:uid="{C74A1EF0-C645-48F3-809E-71E5CCC4114D}"/>
    <cellStyle name="Normal 2 5 8" xfId="2052" xr:uid="{00000000-0005-0000-0000-000071110000}"/>
    <cellStyle name="Normal 2 5 8 2" xfId="4281" xr:uid="{00000000-0005-0000-0000-000072110000}"/>
    <cellStyle name="Normal 2 5 8 2 2" xfId="8504" xr:uid="{00000000-0005-0000-0000-000073110000}"/>
    <cellStyle name="Normal 2 5 8 2 2 2" xfId="16943" xr:uid="{48DD8AD9-7AB3-4F9C-9B1C-FF14DE7CB9E5}"/>
    <cellStyle name="Normal 2 5 8 2 3" xfId="12725" xr:uid="{7757114E-0ACF-40C2-AFC0-FDFDB69B6470}"/>
    <cellStyle name="Normal 2 5 8 3" xfId="6359" xr:uid="{00000000-0005-0000-0000-000074110000}"/>
    <cellStyle name="Normal 2 5 8 3 2" xfId="14798" xr:uid="{6AD7E045-88CB-4155-8BE0-A85F9D5FF0DE}"/>
    <cellStyle name="Normal 2 5 8 4" xfId="10580" xr:uid="{F35FA3B2-AE5E-4B44-8253-2DFDC8D23818}"/>
    <cellStyle name="Normal 2 5 9" xfId="2488" xr:uid="{00000000-0005-0000-0000-000075110000}"/>
    <cellStyle name="Normal 2 5 9 2" xfId="6772" xr:uid="{00000000-0005-0000-0000-000076110000}"/>
    <cellStyle name="Normal 2 5 9 2 2" xfId="15211" xr:uid="{9BA1CBEB-9ACA-48DD-9730-3E516BAFD39E}"/>
    <cellStyle name="Normal 2 5 9 3" xfId="10993" xr:uid="{0EF5B234-2042-4CB4-ABAA-6909892836FC}"/>
    <cellStyle name="Normal 2 6" xfId="322" xr:uid="{00000000-0005-0000-0000-000077110000}"/>
    <cellStyle name="Normal 2 7" xfId="769" xr:uid="{00000000-0005-0000-0000-000078110000}"/>
    <cellStyle name="Normal 2 8" xfId="4495" xr:uid="{00000000-0005-0000-0000-000079110000}"/>
    <cellStyle name="Normal 2 8 2" xfId="12937" xr:uid="{1DFCFFCE-7BBE-4BFE-93FA-A86A8BB786EA}"/>
    <cellStyle name="Normal 3" xfId="323" xr:uid="{00000000-0005-0000-0000-00007A110000}"/>
    <cellStyle name="Normal 3 2" xfId="324" xr:uid="{00000000-0005-0000-0000-00007B110000}"/>
    <cellStyle name="Normal 3 2 10" xfId="8932" xr:uid="{7EDDA857-99CD-4853-ACCC-CC84CE1BBBE3}"/>
    <cellStyle name="Normal 3 2 2" xfId="325" xr:uid="{00000000-0005-0000-0000-00007C110000}"/>
    <cellStyle name="Normal 3 2 2 2" xfId="810" xr:uid="{00000000-0005-0000-0000-00007D110000}"/>
    <cellStyle name="Normal 3 2 3" xfId="326" xr:uid="{00000000-0005-0000-0000-00007E110000}"/>
    <cellStyle name="Normal 3 2 3 10" xfId="8933" xr:uid="{8F1FF0B2-E093-4603-B22B-3855F8F81A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6AFBA2BC-EEAF-4D59-AACB-353C551CAA58}"/>
    <cellStyle name="Normal 3 2 3 2 2 2 2 3" xfId="11494" xr:uid="{E99A19D5-F3EC-4A3C-98F5-F3BD9B7DEEB4}"/>
    <cellStyle name="Normal 3 2 3 2 2 2 3" xfId="5128" xr:uid="{00000000-0005-0000-0000-000084110000}"/>
    <cellStyle name="Normal 3 2 3 2 2 2 3 2" xfId="13567" xr:uid="{8E697C0F-2350-4E08-A8D8-635BE9831739}"/>
    <cellStyle name="Normal 3 2 3 2 2 2 4" xfId="9349" xr:uid="{64E39825-3586-44FE-B472-3615789C341E}"/>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84CA9984-079A-4A2E-99BA-021A29FB70FB}"/>
    <cellStyle name="Normal 3 2 3 2 2 3 2 3" xfId="11907" xr:uid="{77FB52CC-2DA3-41E6-BC6F-DD96F995F49A}"/>
    <cellStyle name="Normal 3 2 3 2 2 3 3" xfId="5541" xr:uid="{00000000-0005-0000-0000-000088110000}"/>
    <cellStyle name="Normal 3 2 3 2 2 3 3 2" xfId="13980" xr:uid="{0BF5BC0D-4B1F-45B2-AAD5-C8CE183F1A7A}"/>
    <cellStyle name="Normal 3 2 3 2 2 3 4" xfId="9762" xr:uid="{19B98585-74CC-41FF-A25D-971A9C672D61}"/>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43832C9C-61F0-4733-80A8-341D15084CC1}"/>
    <cellStyle name="Normal 3 2 3 2 2 4 2 3" xfId="12320" xr:uid="{D57FA6C1-0257-469B-9025-A38A9B4E08F2}"/>
    <cellStyle name="Normal 3 2 3 2 2 4 3" xfId="5954" xr:uid="{00000000-0005-0000-0000-00008C110000}"/>
    <cellStyle name="Normal 3 2 3 2 2 4 3 2" xfId="14393" xr:uid="{EF6C3F73-7F7B-485F-B90D-799531E1B141}"/>
    <cellStyle name="Normal 3 2 3 2 2 4 4" xfId="10175" xr:uid="{E98A91A8-19F5-48B5-A161-54BB2F259691}"/>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30E04682-436B-4B7A-82BC-D2DFF8CFB6C3}"/>
    <cellStyle name="Normal 3 2 3 2 2 5 2 3" xfId="12733" xr:uid="{785D555E-9274-4CC1-A2D8-592991F1C990}"/>
    <cellStyle name="Normal 3 2 3 2 2 5 3" xfId="6367" xr:uid="{00000000-0005-0000-0000-000090110000}"/>
    <cellStyle name="Normal 3 2 3 2 2 5 3 2" xfId="14806" xr:uid="{A35CB1D0-BE35-4569-9AB1-98791E439E0A}"/>
    <cellStyle name="Normal 3 2 3 2 2 5 4" xfId="10588" xr:uid="{63CDE44C-A33F-44B4-98E2-649012615076}"/>
    <cellStyle name="Normal 3 2 3 2 2 6" xfId="2496" xr:uid="{00000000-0005-0000-0000-000091110000}"/>
    <cellStyle name="Normal 3 2 3 2 2 6 2" xfId="6780" xr:uid="{00000000-0005-0000-0000-000092110000}"/>
    <cellStyle name="Normal 3 2 3 2 2 6 2 2" xfId="15219" xr:uid="{577165D1-749C-4CCB-99A4-515D117583F5}"/>
    <cellStyle name="Normal 3 2 3 2 2 6 3" xfId="11001" xr:uid="{69212867-291A-49EF-9E6F-8E9896ECF775}"/>
    <cellStyle name="Normal 3 2 3 2 2 7" xfId="4714" xr:uid="{00000000-0005-0000-0000-000093110000}"/>
    <cellStyle name="Normal 3 2 3 2 2 7 2" xfId="13153" xr:uid="{D8EF7B26-6E77-46DD-BDE2-7FF75C5E51E6}"/>
    <cellStyle name="Normal 3 2 3 2 2 8" xfId="8935" xr:uid="{D178410D-4FFB-41F5-A192-EA21134A7EC3}"/>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3A7C67B9-A600-40C1-96FF-90893DF7E03B}"/>
    <cellStyle name="Normal 3 2 3 2 3 2 3" xfId="11493" xr:uid="{3633D7EA-3292-4B13-8825-2A219AD4633E}"/>
    <cellStyle name="Normal 3 2 3 2 3 3" xfId="5127" xr:uid="{00000000-0005-0000-0000-000097110000}"/>
    <cellStyle name="Normal 3 2 3 2 3 3 2" xfId="13566" xr:uid="{AA59BCF5-6548-4F3D-B557-8A8354F1B4D5}"/>
    <cellStyle name="Normal 3 2 3 2 3 4" xfId="9348" xr:uid="{38340696-B1E4-4AD5-B06A-31C8210B8F6F}"/>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0BAF4805-CE95-4E81-8287-C4A28C3B7218}"/>
    <cellStyle name="Normal 3 2 3 2 4 2 3" xfId="11906" xr:uid="{825F92C6-FA20-427F-BD1B-D4E36BADF7FC}"/>
    <cellStyle name="Normal 3 2 3 2 4 3" xfId="5540" xr:uid="{00000000-0005-0000-0000-00009B110000}"/>
    <cellStyle name="Normal 3 2 3 2 4 3 2" xfId="13979" xr:uid="{D8F4E272-66C7-4DCA-82EF-C29EB203E50A}"/>
    <cellStyle name="Normal 3 2 3 2 4 4" xfId="9761" xr:uid="{CFB3D9D9-09B4-4061-9E93-12771DBAD617}"/>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30CCF46A-FFE2-4604-AC47-D9FD2412514C}"/>
    <cellStyle name="Normal 3 2 3 2 5 2 3" xfId="12319" xr:uid="{0DF4DB1D-7751-47BE-8E96-5B2401AD9B29}"/>
    <cellStyle name="Normal 3 2 3 2 5 3" xfId="5953" xr:uid="{00000000-0005-0000-0000-00009F110000}"/>
    <cellStyle name="Normal 3 2 3 2 5 3 2" xfId="14392" xr:uid="{BAC3C6A8-DB59-4E89-A5F4-820B5E076B4C}"/>
    <cellStyle name="Normal 3 2 3 2 5 4" xfId="10174" xr:uid="{E19E58D0-C57A-4A7B-8E34-9C3D142C75E9}"/>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9CBD9136-9FAE-4BA9-A6B7-59E26CCA3582}"/>
    <cellStyle name="Normal 3 2 3 2 6 2 3" xfId="12732" xr:uid="{7171B8E7-B38A-4339-A67A-C1DB8352204A}"/>
    <cellStyle name="Normal 3 2 3 2 6 3" xfId="6366" xr:uid="{00000000-0005-0000-0000-0000A3110000}"/>
    <cellStyle name="Normal 3 2 3 2 6 3 2" xfId="14805" xr:uid="{3D72D267-B089-42BB-AC7A-AAA3C651C3ED}"/>
    <cellStyle name="Normal 3 2 3 2 6 4" xfId="10587" xr:uid="{A9744BA5-4EEA-4785-A1A0-074F412D6D71}"/>
    <cellStyle name="Normal 3 2 3 2 7" xfId="2495" xr:uid="{00000000-0005-0000-0000-0000A4110000}"/>
    <cellStyle name="Normal 3 2 3 2 7 2" xfId="6779" xr:uid="{00000000-0005-0000-0000-0000A5110000}"/>
    <cellStyle name="Normal 3 2 3 2 7 2 2" xfId="15218" xr:uid="{43EFE54A-AAAA-4AD9-8B76-9AC8A890C502}"/>
    <cellStyle name="Normal 3 2 3 2 7 3" xfId="11000" xr:uid="{D1ED06D6-1FF6-4661-873C-5F59935630A6}"/>
    <cellStyle name="Normal 3 2 3 2 8" xfId="4713" xr:uid="{00000000-0005-0000-0000-0000A6110000}"/>
    <cellStyle name="Normal 3 2 3 2 8 2" xfId="13152" xr:uid="{D5BC25B6-A010-401E-B8DA-7ADC84C464E6}"/>
    <cellStyle name="Normal 3 2 3 2 9" xfId="8934" xr:uid="{B5A9A732-D4B0-4AB7-8F99-071E79602109}"/>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C32E9324-5C10-44FF-94EC-7C6A43FE0A4F}"/>
    <cellStyle name="Normal 3 2 3 3 2 2 3" xfId="11495" xr:uid="{33567E09-3EF3-4998-894D-92399D3A31DF}"/>
    <cellStyle name="Normal 3 2 3 3 2 3" xfId="5129" xr:uid="{00000000-0005-0000-0000-0000AB110000}"/>
    <cellStyle name="Normal 3 2 3 3 2 3 2" xfId="13568" xr:uid="{49E2752E-C6FF-41BE-8D65-E5520BBEFF24}"/>
    <cellStyle name="Normal 3 2 3 3 2 4" xfId="9350" xr:uid="{B3222A06-8C3E-44C3-BDBA-2CB72038E7F7}"/>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AF350758-3553-425B-B594-3DC674671116}"/>
    <cellStyle name="Normal 3 2 3 3 3 2 3" xfId="11908" xr:uid="{223BA115-0D2A-4FF5-93B9-2B6EC2F118B1}"/>
    <cellStyle name="Normal 3 2 3 3 3 3" xfId="5542" xr:uid="{00000000-0005-0000-0000-0000AF110000}"/>
    <cellStyle name="Normal 3 2 3 3 3 3 2" xfId="13981" xr:uid="{0AD3FE01-B50C-43ED-91AA-90C8239EDF44}"/>
    <cellStyle name="Normal 3 2 3 3 3 4" xfId="9763" xr:uid="{6C869412-47D5-43AE-BE52-1DDE7A1F3402}"/>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36BB38B3-99D2-4E81-9AB7-A96355FFB058}"/>
    <cellStyle name="Normal 3 2 3 3 4 2 3" xfId="12321" xr:uid="{39098629-3598-4955-8C71-4F3F3D549869}"/>
    <cellStyle name="Normal 3 2 3 3 4 3" xfId="5955" xr:uid="{00000000-0005-0000-0000-0000B3110000}"/>
    <cellStyle name="Normal 3 2 3 3 4 3 2" xfId="14394" xr:uid="{F374CC82-169E-4577-A52F-892975F869AC}"/>
    <cellStyle name="Normal 3 2 3 3 4 4" xfId="10176" xr:uid="{6E6D8749-54B4-4E06-9C81-6128AF705FBD}"/>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22537ACF-6BD3-4427-96DA-5A0CD9AD6073}"/>
    <cellStyle name="Normal 3 2 3 3 5 2 3" xfId="12734" xr:uid="{12BAA48B-A9D1-4D5F-9834-A613E16CE913}"/>
    <cellStyle name="Normal 3 2 3 3 5 3" xfId="6368" xr:uid="{00000000-0005-0000-0000-0000B7110000}"/>
    <cellStyle name="Normal 3 2 3 3 5 3 2" xfId="14807" xr:uid="{72782B03-78DE-49C8-BABC-B7EA0984A610}"/>
    <cellStyle name="Normal 3 2 3 3 5 4" xfId="10589" xr:uid="{E4CEA39B-F202-42F6-A15D-474ACE56934B}"/>
    <cellStyle name="Normal 3 2 3 3 6" xfId="2497" xr:uid="{00000000-0005-0000-0000-0000B8110000}"/>
    <cellStyle name="Normal 3 2 3 3 6 2" xfId="6781" xr:uid="{00000000-0005-0000-0000-0000B9110000}"/>
    <cellStyle name="Normal 3 2 3 3 6 2 2" xfId="15220" xr:uid="{83446796-785E-4ADD-8460-E8B2E7E04B35}"/>
    <cellStyle name="Normal 3 2 3 3 6 3" xfId="11002" xr:uid="{A6953425-927F-4149-A8E7-835369FB65F0}"/>
    <cellStyle name="Normal 3 2 3 3 7" xfId="4715" xr:uid="{00000000-0005-0000-0000-0000BA110000}"/>
    <cellStyle name="Normal 3 2 3 3 7 2" xfId="13154" xr:uid="{A86A0504-E66B-4C18-BD47-CC427F4B6333}"/>
    <cellStyle name="Normal 3 2 3 3 8" xfId="8936" xr:uid="{2CBB7079-FF66-473A-91B9-B8FE4269D1B1}"/>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5740307F-7B39-4F98-8AFA-E1DFC447DE8C}"/>
    <cellStyle name="Normal 3 2 3 4 2 3" xfId="11492" xr:uid="{F11B73B6-09EE-4B47-AF4F-07D6D8A1800F}"/>
    <cellStyle name="Normal 3 2 3 4 3" xfId="5126" xr:uid="{00000000-0005-0000-0000-0000BE110000}"/>
    <cellStyle name="Normal 3 2 3 4 3 2" xfId="13565" xr:uid="{90B7DEEB-A834-47FB-A9BF-F5D58DCDA96E}"/>
    <cellStyle name="Normal 3 2 3 4 4" xfId="9347" xr:uid="{19044F76-2AF5-4885-9EA5-00EBA36E2B68}"/>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34EF1C5F-36A3-43C2-A3CB-CD1EB62AFC93}"/>
    <cellStyle name="Normal 3 2 3 5 2 3" xfId="11905" xr:uid="{B8E39659-6E5D-4841-AC34-7F11610E9F06}"/>
    <cellStyle name="Normal 3 2 3 5 3" xfId="5539" xr:uid="{00000000-0005-0000-0000-0000C2110000}"/>
    <cellStyle name="Normal 3 2 3 5 3 2" xfId="13978" xr:uid="{DA70AC8D-82F2-4149-BC43-210FBDA96CF5}"/>
    <cellStyle name="Normal 3 2 3 5 4" xfId="9760" xr:uid="{0B339644-2DBA-468E-943E-5ACE876FF0A6}"/>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56B94D35-AE12-498E-A75E-AF0FC4A12828}"/>
    <cellStyle name="Normal 3 2 3 6 2 3" xfId="12318" xr:uid="{9E3C8044-910D-479E-8D84-A410AE7B6C1D}"/>
    <cellStyle name="Normal 3 2 3 6 3" xfId="5952" xr:uid="{00000000-0005-0000-0000-0000C6110000}"/>
    <cellStyle name="Normal 3 2 3 6 3 2" xfId="14391" xr:uid="{20EE38E5-F614-4C0D-8A0A-2445FF2A515E}"/>
    <cellStyle name="Normal 3 2 3 6 4" xfId="10173" xr:uid="{0EB90388-1BF2-4319-AFB1-472A2AD9B51D}"/>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DDB92C70-F070-4066-9E24-06C5F9E08FFD}"/>
    <cellStyle name="Normal 3 2 3 7 2 3" xfId="12731" xr:uid="{9B451503-4551-47FD-827E-4990706B1A61}"/>
    <cellStyle name="Normal 3 2 3 7 3" xfId="6365" xr:uid="{00000000-0005-0000-0000-0000CA110000}"/>
    <cellStyle name="Normal 3 2 3 7 3 2" xfId="14804" xr:uid="{78B5F0FB-B1B5-4BF8-B2A7-793FD608F3A2}"/>
    <cellStyle name="Normal 3 2 3 7 4" xfId="10586" xr:uid="{E25AF1F7-3BCF-4D98-9383-6B2AACD947C0}"/>
    <cellStyle name="Normal 3 2 3 8" xfId="2494" xr:uid="{00000000-0005-0000-0000-0000CB110000}"/>
    <cellStyle name="Normal 3 2 3 8 2" xfId="6778" xr:uid="{00000000-0005-0000-0000-0000CC110000}"/>
    <cellStyle name="Normal 3 2 3 8 2 2" xfId="15217" xr:uid="{63FD6806-16E6-455B-B0E7-1DA373360504}"/>
    <cellStyle name="Normal 3 2 3 8 3" xfId="10999" xr:uid="{B760CB2C-F83B-43C4-99D8-F15BA79546D0}"/>
    <cellStyle name="Normal 3 2 3 9" xfId="4712" xr:uid="{00000000-0005-0000-0000-0000CD110000}"/>
    <cellStyle name="Normal 3 2 3 9 2" xfId="13151" xr:uid="{D5F1AF50-348B-4347-9FAF-47BC4D9B02BB}"/>
    <cellStyle name="Normal 3 2 4" xfId="809" xr:uid="{00000000-0005-0000-0000-0000CE110000}"/>
    <cellStyle name="Normal 3 2 4 2" xfId="3047" xr:uid="{00000000-0005-0000-0000-0000CF110000}"/>
    <cellStyle name="Normal 3 2 4 2 2" xfId="7270" xr:uid="{00000000-0005-0000-0000-0000D0110000}"/>
    <cellStyle name="Normal 3 2 4 2 2 2" xfId="15709" xr:uid="{8BDD42CA-D8A9-4660-A21E-33527EED8664}"/>
    <cellStyle name="Normal 3 2 4 2 3" xfId="11491" xr:uid="{E83B4347-5022-457A-AAA3-A38F3B9E98E8}"/>
    <cellStyle name="Normal 3 2 4 3" xfId="5125" xr:uid="{00000000-0005-0000-0000-0000D1110000}"/>
    <cellStyle name="Normal 3 2 4 3 2" xfId="13564" xr:uid="{78673BDA-42D4-442E-B2AF-518B1A975CC6}"/>
    <cellStyle name="Normal 3 2 4 4" xfId="9346" xr:uid="{ADFFC6ED-1B5B-4B2F-9215-E0CB14B728AB}"/>
    <cellStyle name="Normal 3 2 5" xfId="1230" xr:uid="{00000000-0005-0000-0000-0000D2110000}"/>
    <cellStyle name="Normal 3 2 5 2" xfId="3460" xr:uid="{00000000-0005-0000-0000-0000D3110000}"/>
    <cellStyle name="Normal 3 2 5 2 2" xfId="7683" xr:uid="{00000000-0005-0000-0000-0000D4110000}"/>
    <cellStyle name="Normal 3 2 5 2 2 2" xfId="16122" xr:uid="{901D4A95-67AF-4FAD-BB80-1AC797DB707B}"/>
    <cellStyle name="Normal 3 2 5 2 3" xfId="11904" xr:uid="{4DB793DB-0C2D-482D-BD06-4879FEF0CE7C}"/>
    <cellStyle name="Normal 3 2 5 3" xfId="5538" xr:uid="{00000000-0005-0000-0000-0000D5110000}"/>
    <cellStyle name="Normal 3 2 5 3 2" xfId="13977" xr:uid="{C984FCA7-315C-465F-A27C-C8F49BC6BE3F}"/>
    <cellStyle name="Normal 3 2 5 4" xfId="9759" xr:uid="{8FC583A8-E400-4CB6-9B57-2DFE4EBD4D87}"/>
    <cellStyle name="Normal 3 2 6" xfId="1643" xr:uid="{00000000-0005-0000-0000-0000D6110000}"/>
    <cellStyle name="Normal 3 2 6 2" xfId="3873" xr:uid="{00000000-0005-0000-0000-0000D7110000}"/>
    <cellStyle name="Normal 3 2 6 2 2" xfId="8096" xr:uid="{00000000-0005-0000-0000-0000D8110000}"/>
    <cellStyle name="Normal 3 2 6 2 2 2" xfId="16535" xr:uid="{680A29EF-3683-4655-8F02-701B86EEA52A}"/>
    <cellStyle name="Normal 3 2 6 2 3" xfId="12317" xr:uid="{FC2617E4-67C6-43FB-8C2C-033084797186}"/>
    <cellStyle name="Normal 3 2 6 3" xfId="5951" xr:uid="{00000000-0005-0000-0000-0000D9110000}"/>
    <cellStyle name="Normal 3 2 6 3 2" xfId="14390" xr:uid="{19E2799E-1323-44C2-8F49-CD0D85EB68BD}"/>
    <cellStyle name="Normal 3 2 6 4" xfId="10172" xr:uid="{43F8D26B-B2FC-4705-8759-AFA52A8A9E63}"/>
    <cellStyle name="Normal 3 2 7" xfId="2057" xr:uid="{00000000-0005-0000-0000-0000DA110000}"/>
    <cellStyle name="Normal 3 2 7 2" xfId="4286" xr:uid="{00000000-0005-0000-0000-0000DB110000}"/>
    <cellStyle name="Normal 3 2 7 2 2" xfId="8509" xr:uid="{00000000-0005-0000-0000-0000DC110000}"/>
    <cellStyle name="Normal 3 2 7 2 2 2" xfId="16948" xr:uid="{4ED99B1E-96C6-4409-90E4-0E776F169954}"/>
    <cellStyle name="Normal 3 2 7 2 3" xfId="12730" xr:uid="{1F860E46-4DE8-47ED-9731-E99B0879CAB1}"/>
    <cellStyle name="Normal 3 2 7 3" xfId="6364" xr:uid="{00000000-0005-0000-0000-0000DD110000}"/>
    <cellStyle name="Normal 3 2 7 3 2" xfId="14803" xr:uid="{106AEE88-84A4-4767-8FA4-840AE4C7FF1A}"/>
    <cellStyle name="Normal 3 2 7 4" xfId="10585" xr:uid="{98C01AAD-4F73-4379-BDB7-45A019B26FD6}"/>
    <cellStyle name="Normal 3 2 8" xfId="2493" xr:uid="{00000000-0005-0000-0000-0000DE110000}"/>
    <cellStyle name="Normal 3 2 8 2" xfId="6777" xr:uid="{00000000-0005-0000-0000-0000DF110000}"/>
    <cellStyle name="Normal 3 2 8 2 2" xfId="15216" xr:uid="{E45D0D79-F977-45E9-B934-7819144D4FBA}"/>
    <cellStyle name="Normal 3 2 8 3" xfId="10998" xr:uid="{78AF2897-E813-4583-8572-5A3E811ACE07}"/>
    <cellStyle name="Normal 3 2 9" xfId="4711" xr:uid="{00000000-0005-0000-0000-0000E0110000}"/>
    <cellStyle name="Normal 3 2 9 2" xfId="13150" xr:uid="{FBB84972-2BF6-44DB-B8FE-1F3EE201A21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88C13C83-97FC-4FBF-9A48-167734C51BD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D061BE55-2D83-44F3-A11F-911D1335041C}"/>
    <cellStyle name="Normal 4 2 2 10 2 3" xfId="12735" xr:uid="{142A2DBF-9EBA-415C-8A0A-989DDB0B7FDF}"/>
    <cellStyle name="Normal 4 2 2 10 3" xfId="6369" xr:uid="{00000000-0005-0000-0000-0000ED110000}"/>
    <cellStyle name="Normal 4 2 2 10 3 2" xfId="14808" xr:uid="{130D2F8A-7709-4434-A013-DC27FF57FD3D}"/>
    <cellStyle name="Normal 4 2 2 10 4" xfId="10590" xr:uid="{5B06366A-4916-494A-BF59-BC0348119803}"/>
    <cellStyle name="Normal 4 2 2 11" xfId="2498" xr:uid="{00000000-0005-0000-0000-0000EE110000}"/>
    <cellStyle name="Normal 4 2 2 11 2" xfId="6782" xr:uid="{00000000-0005-0000-0000-0000EF110000}"/>
    <cellStyle name="Normal 4 2 2 11 2 2" xfId="15221" xr:uid="{4CA866F8-16B4-4D54-A799-3AFDDD0F8C04}"/>
    <cellStyle name="Normal 4 2 2 11 3" xfId="11003" xr:uid="{6AFC88A9-E00F-4388-A69A-0A94FEE40C80}"/>
    <cellStyle name="Normal 4 2 2 12" xfId="4717" xr:uid="{00000000-0005-0000-0000-0000F0110000}"/>
    <cellStyle name="Normal 4 2 2 12 2" xfId="13156" xr:uid="{C60C093B-01EF-46A9-BC10-E2C74F496C05}"/>
    <cellStyle name="Normal 4 2 2 13" xfId="8938" xr:uid="{76249579-9A6A-4793-AB50-14A2BB4A4907}"/>
    <cellStyle name="Normal 4 2 2 2" xfId="338" xr:uid="{00000000-0005-0000-0000-0000F1110000}"/>
    <cellStyle name="Normal 4 2 2 3" xfId="339" xr:uid="{00000000-0005-0000-0000-0000F2110000}"/>
    <cellStyle name="Normal 4 2 2 3 10" xfId="4718" xr:uid="{00000000-0005-0000-0000-0000F3110000}"/>
    <cellStyle name="Normal 4 2 2 3 10 2" xfId="13157" xr:uid="{9F104C1A-2F9F-4222-AAAC-896EE9C27ACD}"/>
    <cellStyle name="Normal 4 2 2 3 11" xfId="8939" xr:uid="{7CC8027B-84A2-423C-81E5-50C3E8635F1C}"/>
    <cellStyle name="Normal 4 2 2 3 2" xfId="340" xr:uid="{00000000-0005-0000-0000-0000F4110000}"/>
    <cellStyle name="Normal 4 2 2 3 2 10" xfId="8940" xr:uid="{C1C9AA5D-B6EA-449D-8CBE-DB87873E36EC}"/>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F1F22887-A19B-486D-B4F4-442BCDA6179E}"/>
    <cellStyle name="Normal 4 2 2 3 2 2 2 2 2 3" xfId="11500" xr:uid="{88446BD2-D436-448B-8F5B-E8B1918D8BF9}"/>
    <cellStyle name="Normal 4 2 2 3 2 2 2 2 3" xfId="5134" xr:uid="{00000000-0005-0000-0000-0000FA110000}"/>
    <cellStyle name="Normal 4 2 2 3 2 2 2 2 3 2" xfId="13573" xr:uid="{61F7CE9B-B23C-4FD8-9910-26EB35CA618D}"/>
    <cellStyle name="Normal 4 2 2 3 2 2 2 2 4" xfId="9355" xr:uid="{6F384C8B-0251-41A1-BD85-BC6DC1CA966E}"/>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A07DD1DA-F3BF-4D6E-991C-138E37FAD3A4}"/>
    <cellStyle name="Normal 4 2 2 3 2 2 2 3 2 3" xfId="11913" xr:uid="{2D1E2DE8-AF84-40C5-8541-970ABE32F7D9}"/>
    <cellStyle name="Normal 4 2 2 3 2 2 2 3 3" xfId="5547" xr:uid="{00000000-0005-0000-0000-0000FE110000}"/>
    <cellStyle name="Normal 4 2 2 3 2 2 2 3 3 2" xfId="13986" xr:uid="{6043B8D7-6F4A-442A-BBD9-C069811DA117}"/>
    <cellStyle name="Normal 4 2 2 3 2 2 2 3 4" xfId="9768" xr:uid="{262A2EA6-1A65-4081-A60A-1C700394763D}"/>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D216B40D-87E6-48B5-B181-36EE5D70A689}"/>
    <cellStyle name="Normal 4 2 2 3 2 2 2 4 2 3" xfId="12326" xr:uid="{BCBC6EB5-3F11-4748-8B57-094435FDCBF6}"/>
    <cellStyle name="Normal 4 2 2 3 2 2 2 4 3" xfId="5960" xr:uid="{00000000-0005-0000-0000-000002120000}"/>
    <cellStyle name="Normal 4 2 2 3 2 2 2 4 3 2" xfId="14399" xr:uid="{7CBD5264-704E-44F4-B263-1281AC284132}"/>
    <cellStyle name="Normal 4 2 2 3 2 2 2 4 4" xfId="10181" xr:uid="{9A36C73C-390F-4646-B335-F999E865C41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ED6AB8CF-50A5-4612-A682-CF2A186A6100}"/>
    <cellStyle name="Normal 4 2 2 3 2 2 2 5 2 3" xfId="12739" xr:uid="{38A5D2DF-15A3-49D9-BD7F-3EFEF6D27C66}"/>
    <cellStyle name="Normal 4 2 2 3 2 2 2 5 3" xfId="6373" xr:uid="{00000000-0005-0000-0000-000006120000}"/>
    <cellStyle name="Normal 4 2 2 3 2 2 2 5 3 2" xfId="14812" xr:uid="{82842A86-4795-42FB-8E56-7D7446897797}"/>
    <cellStyle name="Normal 4 2 2 3 2 2 2 5 4" xfId="10594" xr:uid="{D0442090-69D8-4D64-B4A8-986C93DDEF92}"/>
    <cellStyle name="Normal 4 2 2 3 2 2 2 6" xfId="2502" xr:uid="{00000000-0005-0000-0000-000007120000}"/>
    <cellStyle name="Normal 4 2 2 3 2 2 2 6 2" xfId="6786" xr:uid="{00000000-0005-0000-0000-000008120000}"/>
    <cellStyle name="Normal 4 2 2 3 2 2 2 6 2 2" xfId="15225" xr:uid="{9B126688-7D29-44EA-B464-5A1B47FA445B}"/>
    <cellStyle name="Normal 4 2 2 3 2 2 2 6 3" xfId="11007" xr:uid="{1071C743-B6B2-4F9D-8A6A-2816E1A022DD}"/>
    <cellStyle name="Normal 4 2 2 3 2 2 2 7" xfId="4721" xr:uid="{00000000-0005-0000-0000-000009120000}"/>
    <cellStyle name="Normal 4 2 2 3 2 2 2 7 2" xfId="13160" xr:uid="{A79C2C32-5F2A-4C6A-9640-D9FE3A9B2A2B}"/>
    <cellStyle name="Normal 4 2 2 3 2 2 2 8" xfId="8942" xr:uid="{EF261659-B053-4F49-8CF0-562E6148040B}"/>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1F5EE20C-49A4-43D7-8A26-502B806AE2DF}"/>
    <cellStyle name="Normal 4 2 2 3 2 2 3 2 3" xfId="11499" xr:uid="{4BAE1CC5-63A3-49B1-AC55-0D3FD6C51E6F}"/>
    <cellStyle name="Normal 4 2 2 3 2 2 3 3" xfId="5133" xr:uid="{00000000-0005-0000-0000-00000D120000}"/>
    <cellStyle name="Normal 4 2 2 3 2 2 3 3 2" xfId="13572" xr:uid="{98B388AE-F976-48F5-9620-A3B056F8E8D5}"/>
    <cellStyle name="Normal 4 2 2 3 2 2 3 4" xfId="9354" xr:uid="{51560375-0140-4D71-AD65-671189F97CDC}"/>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148E2FEB-F813-472E-9827-FA648499E0D0}"/>
    <cellStyle name="Normal 4 2 2 3 2 2 4 2 3" xfId="11912" xr:uid="{04ECD566-269C-4523-8E23-1A035B53B28F}"/>
    <cellStyle name="Normal 4 2 2 3 2 2 4 3" xfId="5546" xr:uid="{00000000-0005-0000-0000-000011120000}"/>
    <cellStyle name="Normal 4 2 2 3 2 2 4 3 2" xfId="13985" xr:uid="{88F45A3E-096B-4264-8B29-31F3812AD928}"/>
    <cellStyle name="Normal 4 2 2 3 2 2 4 4" xfId="9767" xr:uid="{10B10AAA-E93B-4654-ABA9-B17042225955}"/>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7BAEE3E9-26B2-46CF-8DED-2BDD7C853E66}"/>
    <cellStyle name="Normal 4 2 2 3 2 2 5 2 3" xfId="12325" xr:uid="{FFB7DD9D-7417-47B0-9B78-2FC943A09B7B}"/>
    <cellStyle name="Normal 4 2 2 3 2 2 5 3" xfId="5959" xr:uid="{00000000-0005-0000-0000-000015120000}"/>
    <cellStyle name="Normal 4 2 2 3 2 2 5 3 2" xfId="14398" xr:uid="{6B6F3760-AE04-49D0-A65C-8543DE915632}"/>
    <cellStyle name="Normal 4 2 2 3 2 2 5 4" xfId="10180" xr:uid="{88662EF6-596F-4EEB-A79E-EF128E93B411}"/>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7B421882-33F5-4232-9CA6-C747F739A1F2}"/>
    <cellStyle name="Normal 4 2 2 3 2 2 6 2 3" xfId="12738" xr:uid="{8DBFA5E1-6CED-4039-85C0-A7CFFD083B0F}"/>
    <cellStyle name="Normal 4 2 2 3 2 2 6 3" xfId="6372" xr:uid="{00000000-0005-0000-0000-000019120000}"/>
    <cellStyle name="Normal 4 2 2 3 2 2 6 3 2" xfId="14811" xr:uid="{F4B04808-513B-45D1-8D27-5DF61FD89E33}"/>
    <cellStyle name="Normal 4 2 2 3 2 2 6 4" xfId="10593" xr:uid="{9374254D-30A6-4F37-AF40-C748378A4BD2}"/>
    <cellStyle name="Normal 4 2 2 3 2 2 7" xfId="2501" xr:uid="{00000000-0005-0000-0000-00001A120000}"/>
    <cellStyle name="Normal 4 2 2 3 2 2 7 2" xfId="6785" xr:uid="{00000000-0005-0000-0000-00001B120000}"/>
    <cellStyle name="Normal 4 2 2 3 2 2 7 2 2" xfId="15224" xr:uid="{0568BC8F-209A-420C-A97D-91E14FC235D7}"/>
    <cellStyle name="Normal 4 2 2 3 2 2 7 3" xfId="11006" xr:uid="{863226D3-D599-446F-82C9-4528797DCAF0}"/>
    <cellStyle name="Normal 4 2 2 3 2 2 8" xfId="4720" xr:uid="{00000000-0005-0000-0000-00001C120000}"/>
    <cellStyle name="Normal 4 2 2 3 2 2 8 2" xfId="13159" xr:uid="{00F8AD66-0FB6-41A7-B74C-673F15759C65}"/>
    <cellStyle name="Normal 4 2 2 3 2 2 9" xfId="8941" xr:uid="{7A5DFB30-9F36-4D2A-B41C-2C9621D23AF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0BE1E207-B5E3-44AA-B58B-4AAA0B44C49D}"/>
    <cellStyle name="Normal 4 2 2 3 2 3 2 2 3" xfId="11501" xr:uid="{E3B8D62A-8620-421E-8E17-64CE19B1D919}"/>
    <cellStyle name="Normal 4 2 2 3 2 3 2 3" xfId="5135" xr:uid="{00000000-0005-0000-0000-000021120000}"/>
    <cellStyle name="Normal 4 2 2 3 2 3 2 3 2" xfId="13574" xr:uid="{021494AD-7BC4-4235-85EC-7B66D4EB74A2}"/>
    <cellStyle name="Normal 4 2 2 3 2 3 2 4" xfId="9356" xr:uid="{C5BE3F11-EA65-4180-B377-09AB165A7B2E}"/>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FEE202A9-5523-4FC2-8D45-7D6815A882A9}"/>
    <cellStyle name="Normal 4 2 2 3 2 3 3 2 3" xfId="11914" xr:uid="{30616C24-CC92-48AB-BAAA-0D552ED55C65}"/>
    <cellStyle name="Normal 4 2 2 3 2 3 3 3" xfId="5548" xr:uid="{00000000-0005-0000-0000-000025120000}"/>
    <cellStyle name="Normal 4 2 2 3 2 3 3 3 2" xfId="13987" xr:uid="{028FEA03-F485-4D0B-BD26-D913C1F18DDF}"/>
    <cellStyle name="Normal 4 2 2 3 2 3 3 4" xfId="9769" xr:uid="{8A9A93F9-5863-4D24-92CD-C942ED45C6D7}"/>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2FF37007-89B7-4B6B-8A5F-61D147790E0E}"/>
    <cellStyle name="Normal 4 2 2 3 2 3 4 2 3" xfId="12327" xr:uid="{B64CA744-9D5D-4342-90CE-A55FFEBF9116}"/>
    <cellStyle name="Normal 4 2 2 3 2 3 4 3" xfId="5961" xr:uid="{00000000-0005-0000-0000-000029120000}"/>
    <cellStyle name="Normal 4 2 2 3 2 3 4 3 2" xfId="14400" xr:uid="{8BC8A960-AEA1-4501-8F67-F1DE55BC5D15}"/>
    <cellStyle name="Normal 4 2 2 3 2 3 4 4" xfId="10182" xr:uid="{A34B275D-6D83-4F97-8500-E4F59B0544D3}"/>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1B53D1D2-0018-4371-B312-BBEFC8845122}"/>
    <cellStyle name="Normal 4 2 2 3 2 3 5 2 3" xfId="12740" xr:uid="{77C4E654-8087-4EBD-A7D2-B23E5D431095}"/>
    <cellStyle name="Normal 4 2 2 3 2 3 5 3" xfId="6374" xr:uid="{00000000-0005-0000-0000-00002D120000}"/>
    <cellStyle name="Normal 4 2 2 3 2 3 5 3 2" xfId="14813" xr:uid="{58FFD445-6E1D-4813-B793-6512EDAFDE8F}"/>
    <cellStyle name="Normal 4 2 2 3 2 3 5 4" xfId="10595" xr:uid="{3ED4A8C2-83BA-482A-9F96-4683D7CBE4FE}"/>
    <cellStyle name="Normal 4 2 2 3 2 3 6" xfId="2503" xr:uid="{00000000-0005-0000-0000-00002E120000}"/>
    <cellStyle name="Normal 4 2 2 3 2 3 6 2" xfId="6787" xr:uid="{00000000-0005-0000-0000-00002F120000}"/>
    <cellStyle name="Normal 4 2 2 3 2 3 6 2 2" xfId="15226" xr:uid="{1FFB7C36-EB9C-4B8E-9F3B-EED11C15C933}"/>
    <cellStyle name="Normal 4 2 2 3 2 3 6 3" xfId="11008" xr:uid="{F58BD6AE-0DA4-4D71-B1C1-EAF0888CEF10}"/>
    <cellStyle name="Normal 4 2 2 3 2 3 7" xfId="4722" xr:uid="{00000000-0005-0000-0000-000030120000}"/>
    <cellStyle name="Normal 4 2 2 3 2 3 7 2" xfId="13161" xr:uid="{FE0D3B31-E614-499F-AC61-B0F643E92137}"/>
    <cellStyle name="Normal 4 2 2 3 2 3 8" xfId="8943" xr:uid="{3A1EFE10-10F4-4834-8F5C-BBBEF3A8834D}"/>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B1E74BCD-D090-4040-9C11-A3972C4D14B4}"/>
    <cellStyle name="Normal 4 2 2 3 2 4 2 3" xfId="11498" xr:uid="{31252505-4CE6-481E-9461-150A69E67AA2}"/>
    <cellStyle name="Normal 4 2 2 3 2 4 3" xfId="5132" xr:uid="{00000000-0005-0000-0000-000034120000}"/>
    <cellStyle name="Normal 4 2 2 3 2 4 3 2" xfId="13571" xr:uid="{A27EC403-0B1E-49F1-A31F-0D15F09FCFC6}"/>
    <cellStyle name="Normal 4 2 2 3 2 4 4" xfId="9353" xr:uid="{CFB1217C-29D1-4084-A102-69222AFEB01A}"/>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DAC35B38-FFB6-4583-8A83-71072682C78F}"/>
    <cellStyle name="Normal 4 2 2 3 2 5 2 3" xfId="11911" xr:uid="{3F235779-327A-4BC3-8122-F2B15243E32F}"/>
    <cellStyle name="Normal 4 2 2 3 2 5 3" xfId="5545" xr:uid="{00000000-0005-0000-0000-000038120000}"/>
    <cellStyle name="Normal 4 2 2 3 2 5 3 2" xfId="13984" xr:uid="{A86DD038-8A70-44BA-A34A-B2C2A384682E}"/>
    <cellStyle name="Normal 4 2 2 3 2 5 4" xfId="9766" xr:uid="{3ED01B80-5901-4506-9FDB-8C181C31ECF8}"/>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777FC0C0-7155-4320-B46F-9DE019CD09A7}"/>
    <cellStyle name="Normal 4 2 2 3 2 6 2 3" xfId="12324" xr:uid="{E1E71328-1AC5-417A-AF00-027C3CACACAE}"/>
    <cellStyle name="Normal 4 2 2 3 2 6 3" xfId="5958" xr:uid="{00000000-0005-0000-0000-00003C120000}"/>
    <cellStyle name="Normal 4 2 2 3 2 6 3 2" xfId="14397" xr:uid="{5BDB98A8-A489-48E9-BAAB-88FF130B9087}"/>
    <cellStyle name="Normal 4 2 2 3 2 6 4" xfId="10179" xr:uid="{91C3FDF1-4EBD-4087-A907-A07EF83C9D95}"/>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95DDF87D-CC0F-4B5F-B54E-3B0B1087655C}"/>
    <cellStyle name="Normal 4 2 2 3 2 7 2 3" xfId="12737" xr:uid="{76605782-78DE-4C78-B3A1-E6A813B42F0B}"/>
    <cellStyle name="Normal 4 2 2 3 2 7 3" xfId="6371" xr:uid="{00000000-0005-0000-0000-000040120000}"/>
    <cellStyle name="Normal 4 2 2 3 2 7 3 2" xfId="14810" xr:uid="{EEC64044-3B03-4EBE-834C-45AE17080FF6}"/>
    <cellStyle name="Normal 4 2 2 3 2 7 4" xfId="10592" xr:uid="{C5895988-81A4-4A5D-BB04-A57E5A864F55}"/>
    <cellStyle name="Normal 4 2 2 3 2 8" xfId="2500" xr:uid="{00000000-0005-0000-0000-000041120000}"/>
    <cellStyle name="Normal 4 2 2 3 2 8 2" xfId="6784" xr:uid="{00000000-0005-0000-0000-000042120000}"/>
    <cellStyle name="Normal 4 2 2 3 2 8 2 2" xfId="15223" xr:uid="{4D1A1697-C20A-43A1-B121-236CD493E68C}"/>
    <cellStyle name="Normal 4 2 2 3 2 8 3" xfId="11005" xr:uid="{74C1BA16-397F-4FFA-8A96-B461E68165F2}"/>
    <cellStyle name="Normal 4 2 2 3 2 9" xfId="4719" xr:uid="{00000000-0005-0000-0000-000043120000}"/>
    <cellStyle name="Normal 4 2 2 3 2 9 2" xfId="13158" xr:uid="{83DCAE54-5530-428F-B3AA-D0B74D5E233A}"/>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77CCA502-AE28-47AE-B08F-A97EB1F36091}"/>
    <cellStyle name="Normal 4 2 2 3 3 2 2 2 3" xfId="11503" xr:uid="{E7D1CEB1-9A45-436B-AADD-441E3FB47C09}"/>
    <cellStyle name="Normal 4 2 2 3 3 2 2 3" xfId="5137" xr:uid="{00000000-0005-0000-0000-000049120000}"/>
    <cellStyle name="Normal 4 2 2 3 3 2 2 3 2" xfId="13576" xr:uid="{BC3750BA-F6F7-4AD8-B1A9-BBEF5604DED8}"/>
    <cellStyle name="Normal 4 2 2 3 3 2 2 4" xfId="9358" xr:uid="{6294B7C2-A370-4B92-98A9-D6987E0981F2}"/>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C4612C75-1EB2-4667-9AFA-28633B38E637}"/>
    <cellStyle name="Normal 4 2 2 3 3 2 3 2 3" xfId="11916" xr:uid="{1743FA70-6186-44EC-8289-2901ECCF0911}"/>
    <cellStyle name="Normal 4 2 2 3 3 2 3 3" xfId="5550" xr:uid="{00000000-0005-0000-0000-00004D120000}"/>
    <cellStyle name="Normal 4 2 2 3 3 2 3 3 2" xfId="13989" xr:uid="{4AAB6368-7A73-45C3-ACFB-EE26A63D067B}"/>
    <cellStyle name="Normal 4 2 2 3 3 2 3 4" xfId="9771" xr:uid="{31AAB418-ECBE-4AD3-AF69-12D1BB6E9999}"/>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E0439BA8-A47D-4BA4-93CA-B4232E6ABDE5}"/>
    <cellStyle name="Normal 4 2 2 3 3 2 4 2 3" xfId="12329" xr:uid="{A9D174C9-741E-4F77-8A45-23E999C1E0AC}"/>
    <cellStyle name="Normal 4 2 2 3 3 2 4 3" xfId="5963" xr:uid="{00000000-0005-0000-0000-000051120000}"/>
    <cellStyle name="Normal 4 2 2 3 3 2 4 3 2" xfId="14402" xr:uid="{11EA7558-DA99-4205-9C18-26E6229CB477}"/>
    <cellStyle name="Normal 4 2 2 3 3 2 4 4" xfId="10184" xr:uid="{A2978E77-0685-4C81-A589-FB1BF362E57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7B6062C7-1F02-424A-9E57-B31466B814C0}"/>
    <cellStyle name="Normal 4 2 2 3 3 2 5 2 3" xfId="12742" xr:uid="{DB501DFB-D6C7-4269-9CD8-28CF111CC246}"/>
    <cellStyle name="Normal 4 2 2 3 3 2 5 3" xfId="6376" xr:uid="{00000000-0005-0000-0000-000055120000}"/>
    <cellStyle name="Normal 4 2 2 3 3 2 5 3 2" xfId="14815" xr:uid="{4C41FF73-F886-4D50-865E-495E1EDFB323}"/>
    <cellStyle name="Normal 4 2 2 3 3 2 5 4" xfId="10597" xr:uid="{538EF3B3-B300-4D48-8469-A1F1F49A0771}"/>
    <cellStyle name="Normal 4 2 2 3 3 2 6" xfId="2505" xr:uid="{00000000-0005-0000-0000-000056120000}"/>
    <cellStyle name="Normal 4 2 2 3 3 2 6 2" xfId="6789" xr:uid="{00000000-0005-0000-0000-000057120000}"/>
    <cellStyle name="Normal 4 2 2 3 3 2 6 2 2" xfId="15228" xr:uid="{990EFCD3-3859-44AC-B6BB-83289677DCB7}"/>
    <cellStyle name="Normal 4 2 2 3 3 2 6 3" xfId="11010" xr:uid="{6A569488-45E5-480B-929D-C1FEE870A447}"/>
    <cellStyle name="Normal 4 2 2 3 3 2 7" xfId="4724" xr:uid="{00000000-0005-0000-0000-000058120000}"/>
    <cellStyle name="Normal 4 2 2 3 3 2 7 2" xfId="13163" xr:uid="{97CE1E93-AC0D-40E9-8D84-59528F0664A0}"/>
    <cellStyle name="Normal 4 2 2 3 3 2 8" xfId="8945" xr:uid="{1BE4C78F-B9CB-4067-8CA9-F999874881AB}"/>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26950C8B-82E3-48AB-B414-F648A6F5F7F9}"/>
    <cellStyle name="Normal 4 2 2 3 3 3 2 3" xfId="11502" xr:uid="{31C11358-FB93-42DF-9A18-289DB5D704A0}"/>
    <cellStyle name="Normal 4 2 2 3 3 3 3" xfId="5136" xr:uid="{00000000-0005-0000-0000-00005C120000}"/>
    <cellStyle name="Normal 4 2 2 3 3 3 3 2" xfId="13575" xr:uid="{9740BBAD-49C8-4C7E-A377-EBF9161D7A87}"/>
    <cellStyle name="Normal 4 2 2 3 3 3 4" xfId="9357" xr:uid="{626F4D29-D770-426C-9494-9B961878E06E}"/>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2EE006EC-932C-40C5-B5F9-A0E79A81D8D8}"/>
    <cellStyle name="Normal 4 2 2 3 3 4 2 3" xfId="11915" xr:uid="{E331A638-C745-4080-91C2-8CE077BAC195}"/>
    <cellStyle name="Normal 4 2 2 3 3 4 3" xfId="5549" xr:uid="{00000000-0005-0000-0000-000060120000}"/>
    <cellStyle name="Normal 4 2 2 3 3 4 3 2" xfId="13988" xr:uid="{9EB7AAEF-646D-4BD0-9F1B-F9971B98BE8F}"/>
    <cellStyle name="Normal 4 2 2 3 3 4 4" xfId="9770" xr:uid="{7852FD25-D733-4993-9831-AF83B9A531E6}"/>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A2DE714E-1DA3-42FA-8EC8-EF88C22F87CB}"/>
    <cellStyle name="Normal 4 2 2 3 3 5 2 3" xfId="12328" xr:uid="{206F51B6-02F7-4EAB-B3BF-C803947DFD6C}"/>
    <cellStyle name="Normal 4 2 2 3 3 5 3" xfId="5962" xr:uid="{00000000-0005-0000-0000-000064120000}"/>
    <cellStyle name="Normal 4 2 2 3 3 5 3 2" xfId="14401" xr:uid="{6DF8DC0F-DEFE-4262-BF54-F9C3C6DE7486}"/>
    <cellStyle name="Normal 4 2 2 3 3 5 4" xfId="10183" xr:uid="{4967AFB7-657A-4870-81C4-01CD75738506}"/>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8B395D10-736F-4C8A-AF06-D6A8C265C4E9}"/>
    <cellStyle name="Normal 4 2 2 3 3 6 2 3" xfId="12741" xr:uid="{FB2B1AE5-7839-4D7E-8C92-934752C12DFF}"/>
    <cellStyle name="Normal 4 2 2 3 3 6 3" xfId="6375" xr:uid="{00000000-0005-0000-0000-000068120000}"/>
    <cellStyle name="Normal 4 2 2 3 3 6 3 2" xfId="14814" xr:uid="{4CB52FA7-BE85-476C-B27F-BEAAD3A8CCD1}"/>
    <cellStyle name="Normal 4 2 2 3 3 6 4" xfId="10596" xr:uid="{3EB5EAAD-B35D-430D-BF47-4E75C6C1267C}"/>
    <cellStyle name="Normal 4 2 2 3 3 7" xfId="2504" xr:uid="{00000000-0005-0000-0000-000069120000}"/>
    <cellStyle name="Normal 4 2 2 3 3 7 2" xfId="6788" xr:uid="{00000000-0005-0000-0000-00006A120000}"/>
    <cellStyle name="Normal 4 2 2 3 3 7 2 2" xfId="15227" xr:uid="{A4FD29C6-5F1C-402D-B5F1-E82A0365453F}"/>
    <cellStyle name="Normal 4 2 2 3 3 7 3" xfId="11009" xr:uid="{F4902A35-AFD8-467F-8675-C6D9959A8DB2}"/>
    <cellStyle name="Normal 4 2 2 3 3 8" xfId="4723" xr:uid="{00000000-0005-0000-0000-00006B120000}"/>
    <cellStyle name="Normal 4 2 2 3 3 8 2" xfId="13162" xr:uid="{0D29B52C-0732-4DBB-9928-474C4D86F611}"/>
    <cellStyle name="Normal 4 2 2 3 3 9" xfId="8944" xr:uid="{F7CFECA6-7740-4E28-9977-96257496732D}"/>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88D353E6-2CF3-418C-83C8-69E1F8A0ABDA}"/>
    <cellStyle name="Normal 4 2 2 3 4 2 2 3" xfId="11504" xr:uid="{0A3F6C1A-EC3C-4B54-B1E2-6B3FFCF79687}"/>
    <cellStyle name="Normal 4 2 2 3 4 2 3" xfId="5138" xr:uid="{00000000-0005-0000-0000-000070120000}"/>
    <cellStyle name="Normal 4 2 2 3 4 2 3 2" xfId="13577" xr:uid="{BCCE9176-2C4D-43D6-AFC1-7385A8398285}"/>
    <cellStyle name="Normal 4 2 2 3 4 2 4" xfId="9359" xr:uid="{19C0AD12-9E47-4F75-B2FD-3FC1B35A57C5}"/>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61C81C11-2042-4214-87A5-B1F52F716EAD}"/>
    <cellStyle name="Normal 4 2 2 3 4 3 2 3" xfId="11917" xr:uid="{8002B00C-F1CD-44D1-B40E-C68C2DC20BE8}"/>
    <cellStyle name="Normal 4 2 2 3 4 3 3" xfId="5551" xr:uid="{00000000-0005-0000-0000-000074120000}"/>
    <cellStyle name="Normal 4 2 2 3 4 3 3 2" xfId="13990" xr:uid="{70376D30-5F1A-4AF8-8F1F-B31E9D124853}"/>
    <cellStyle name="Normal 4 2 2 3 4 3 4" xfId="9772" xr:uid="{0F1089B8-9AA8-4654-848F-72690C9E0BDC}"/>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D47A9934-6D85-4D92-A24F-1F3CD228B483}"/>
    <cellStyle name="Normal 4 2 2 3 4 4 2 3" xfId="12330" xr:uid="{9837A16B-CD69-45A2-AABB-308E856B4231}"/>
    <cellStyle name="Normal 4 2 2 3 4 4 3" xfId="5964" xr:uid="{00000000-0005-0000-0000-000078120000}"/>
    <cellStyle name="Normal 4 2 2 3 4 4 3 2" xfId="14403" xr:uid="{8B07B745-8BDD-4DFD-BD5C-745E0EA15BAA}"/>
    <cellStyle name="Normal 4 2 2 3 4 4 4" xfId="10185" xr:uid="{1A947E58-E52C-4744-94FD-53F0AE2FF3BD}"/>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C01B8716-F5DC-4768-8080-9A933A9E5BA4}"/>
    <cellStyle name="Normal 4 2 2 3 4 5 2 3" xfId="12743" xr:uid="{CAEC7DB1-B992-4422-9148-875ACC8846AD}"/>
    <cellStyle name="Normal 4 2 2 3 4 5 3" xfId="6377" xr:uid="{00000000-0005-0000-0000-00007C120000}"/>
    <cellStyle name="Normal 4 2 2 3 4 5 3 2" xfId="14816" xr:uid="{FCFB7EF7-8900-46C0-9E96-8AD0797F65DF}"/>
    <cellStyle name="Normal 4 2 2 3 4 5 4" xfId="10598" xr:uid="{601C46F3-328C-446F-B369-00E821CD6C48}"/>
    <cellStyle name="Normal 4 2 2 3 4 6" xfId="2506" xr:uid="{00000000-0005-0000-0000-00007D120000}"/>
    <cellStyle name="Normal 4 2 2 3 4 6 2" xfId="6790" xr:uid="{00000000-0005-0000-0000-00007E120000}"/>
    <cellStyle name="Normal 4 2 2 3 4 6 2 2" xfId="15229" xr:uid="{C52AF2CE-3E2B-496D-ADF2-ACEE796688E3}"/>
    <cellStyle name="Normal 4 2 2 3 4 6 3" xfId="11011" xr:uid="{C73FB5CF-8E69-4520-8D0E-5D50914B0F30}"/>
    <cellStyle name="Normal 4 2 2 3 4 7" xfId="4725" xr:uid="{00000000-0005-0000-0000-00007F120000}"/>
    <cellStyle name="Normal 4 2 2 3 4 7 2" xfId="13164" xr:uid="{41552F8A-B17C-4D63-AAF4-1A992F549B98}"/>
    <cellStyle name="Normal 4 2 2 3 4 8" xfId="8946" xr:uid="{F87072F9-6685-4539-ADC1-21461F6FD5FC}"/>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6B7A2FE8-2117-4419-A603-B97DBA6E42C3}"/>
    <cellStyle name="Normal 4 2 2 3 5 2 3" xfId="11497" xr:uid="{FD5192A0-E7AF-49E2-9E38-3EA295AD9991}"/>
    <cellStyle name="Normal 4 2 2 3 5 3" xfId="5131" xr:uid="{00000000-0005-0000-0000-000083120000}"/>
    <cellStyle name="Normal 4 2 2 3 5 3 2" xfId="13570" xr:uid="{F7D4EC40-6ED0-4F78-AEB5-7A2EBBECE9F0}"/>
    <cellStyle name="Normal 4 2 2 3 5 4" xfId="9352" xr:uid="{FDA6DFA3-2BEF-4FFD-BB91-ECB696F546A5}"/>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43D7F624-8DA4-4BF8-AFE7-88E5436BE382}"/>
    <cellStyle name="Normal 4 2 2 3 6 2 3" xfId="11910" xr:uid="{DAB26CAE-8331-45C1-9591-82E89E57A611}"/>
    <cellStyle name="Normal 4 2 2 3 6 3" xfId="5544" xr:uid="{00000000-0005-0000-0000-000087120000}"/>
    <cellStyle name="Normal 4 2 2 3 6 3 2" xfId="13983" xr:uid="{E750D351-3CCA-433C-97F2-E39FF99F63BA}"/>
    <cellStyle name="Normal 4 2 2 3 6 4" xfId="9765" xr:uid="{3AAF6FB0-EF88-4F02-84A1-BE681ED52142}"/>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215D06C2-F969-4A85-A98C-3E34F07F2FF3}"/>
    <cellStyle name="Normal 4 2 2 3 7 2 3" xfId="12323" xr:uid="{597AE368-D3EE-4017-AACE-801CE0CCED47}"/>
    <cellStyle name="Normal 4 2 2 3 7 3" xfId="5957" xr:uid="{00000000-0005-0000-0000-00008B120000}"/>
    <cellStyle name="Normal 4 2 2 3 7 3 2" xfId="14396" xr:uid="{603871CE-5EE9-4A4A-ADD3-F765234A5A32}"/>
    <cellStyle name="Normal 4 2 2 3 7 4" xfId="10178" xr:uid="{98DFF7E1-ED6C-4743-98A5-F387264FFF66}"/>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5B4A181F-2100-4F1F-A706-78EB6DA59B49}"/>
    <cellStyle name="Normal 4 2 2 3 8 2 3" xfId="12736" xr:uid="{D81A98EE-D9B4-4F2D-9BF5-BB7E9D0554DB}"/>
    <cellStyle name="Normal 4 2 2 3 8 3" xfId="6370" xr:uid="{00000000-0005-0000-0000-00008F120000}"/>
    <cellStyle name="Normal 4 2 2 3 8 3 2" xfId="14809" xr:uid="{DC2EAE15-0131-4376-831A-9C0AF37972B4}"/>
    <cellStyle name="Normal 4 2 2 3 8 4" xfId="10591" xr:uid="{DE0FC8F8-8D7C-4109-BD67-F0A221727460}"/>
    <cellStyle name="Normal 4 2 2 3 9" xfId="2499" xr:uid="{00000000-0005-0000-0000-000090120000}"/>
    <cellStyle name="Normal 4 2 2 3 9 2" xfId="6783" xr:uid="{00000000-0005-0000-0000-000091120000}"/>
    <cellStyle name="Normal 4 2 2 3 9 2 2" xfId="15222" xr:uid="{02B36A09-ADD8-47CD-98FF-AEAE5FC98FDC}"/>
    <cellStyle name="Normal 4 2 2 3 9 3" xfId="11004" xr:uid="{199A6EFE-ABDB-4DDD-A6A3-114783579254}"/>
    <cellStyle name="Normal 4 2 2 4" xfId="347" xr:uid="{00000000-0005-0000-0000-000092120000}"/>
    <cellStyle name="Normal 4 2 2 4 10" xfId="8947" xr:uid="{3E0EB242-3B67-4988-B3F4-CDA7F4151B2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A76987BA-F22C-4F2D-9B09-29AD487184DA}"/>
    <cellStyle name="Normal 4 2 2 4 2 2 2 2 3" xfId="11507" xr:uid="{8EE5C843-D3A1-4985-8111-0724715A6159}"/>
    <cellStyle name="Normal 4 2 2 4 2 2 2 3" xfId="5141" xr:uid="{00000000-0005-0000-0000-000098120000}"/>
    <cellStyle name="Normal 4 2 2 4 2 2 2 3 2" xfId="13580" xr:uid="{BF302770-0ACB-4F48-B79F-FF0D87B644A9}"/>
    <cellStyle name="Normal 4 2 2 4 2 2 2 4" xfId="9362" xr:uid="{B7ECCB1E-287C-42C5-A37E-37B2D4A9E19C}"/>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21AC6DD9-82C5-49D2-B7F4-F96E77C3C10D}"/>
    <cellStyle name="Normal 4 2 2 4 2 2 3 2 3" xfId="11920" xr:uid="{C0D5220D-CCCC-4701-B850-D3C6EC7739C5}"/>
    <cellStyle name="Normal 4 2 2 4 2 2 3 3" xfId="5554" xr:uid="{00000000-0005-0000-0000-00009C120000}"/>
    <cellStyle name="Normal 4 2 2 4 2 2 3 3 2" xfId="13993" xr:uid="{6B88E6D4-E433-45F3-9F01-98CF9729291B}"/>
    <cellStyle name="Normal 4 2 2 4 2 2 3 4" xfId="9775" xr:uid="{F215A0C7-15F3-4888-8AC5-B84A83C5D583}"/>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E3D3D5FE-61DD-4F85-9CA3-DEE03D47C2ED}"/>
    <cellStyle name="Normal 4 2 2 4 2 2 4 2 3" xfId="12333" xr:uid="{5C4B2849-7AE5-45DE-A08D-1AF4B49629EC}"/>
    <cellStyle name="Normal 4 2 2 4 2 2 4 3" xfId="5967" xr:uid="{00000000-0005-0000-0000-0000A0120000}"/>
    <cellStyle name="Normal 4 2 2 4 2 2 4 3 2" xfId="14406" xr:uid="{E023AD28-ED11-4457-8B55-79DE6388FD1A}"/>
    <cellStyle name="Normal 4 2 2 4 2 2 4 4" xfId="10188" xr:uid="{F9548C1B-F95B-4047-ACE2-CB2EF09F1595}"/>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235D6365-0ADB-443C-A52F-4AEDC60EEEE3}"/>
    <cellStyle name="Normal 4 2 2 4 2 2 5 2 3" xfId="12746" xr:uid="{6B89A686-9FFB-44AA-B38E-4D8EE8F2A3D0}"/>
    <cellStyle name="Normal 4 2 2 4 2 2 5 3" xfId="6380" xr:uid="{00000000-0005-0000-0000-0000A4120000}"/>
    <cellStyle name="Normal 4 2 2 4 2 2 5 3 2" xfId="14819" xr:uid="{0EC8A4B7-3278-435B-A423-7564A6181861}"/>
    <cellStyle name="Normal 4 2 2 4 2 2 5 4" xfId="10601" xr:uid="{6870ADE2-3F77-48B6-8388-9A971046CD9F}"/>
    <cellStyle name="Normal 4 2 2 4 2 2 6" xfId="2509" xr:uid="{00000000-0005-0000-0000-0000A5120000}"/>
    <cellStyle name="Normal 4 2 2 4 2 2 6 2" xfId="6793" xr:uid="{00000000-0005-0000-0000-0000A6120000}"/>
    <cellStyle name="Normal 4 2 2 4 2 2 6 2 2" xfId="15232" xr:uid="{F38194C1-F843-47FF-8602-51B661C310AE}"/>
    <cellStyle name="Normal 4 2 2 4 2 2 6 3" xfId="11014" xr:uid="{FACAD325-2DAD-49AE-887E-7353ACC1429E}"/>
    <cellStyle name="Normal 4 2 2 4 2 2 7" xfId="4728" xr:uid="{00000000-0005-0000-0000-0000A7120000}"/>
    <cellStyle name="Normal 4 2 2 4 2 2 7 2" xfId="13167" xr:uid="{D8AF7104-7EEE-4E72-B0E2-87B2353FB441}"/>
    <cellStyle name="Normal 4 2 2 4 2 2 8" xfId="8949" xr:uid="{D52FA73E-88E9-47AB-93A6-3E408D21A61F}"/>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CE0DEF4F-956A-41C7-A9A8-BAC1C54CEB77}"/>
    <cellStyle name="Normal 4 2 2 4 2 3 2 3" xfId="11506" xr:uid="{B2BFC8C7-AF75-44CE-83A7-1B16D3C2E49C}"/>
    <cellStyle name="Normal 4 2 2 4 2 3 3" xfId="5140" xr:uid="{00000000-0005-0000-0000-0000AB120000}"/>
    <cellStyle name="Normal 4 2 2 4 2 3 3 2" xfId="13579" xr:uid="{ACCFFB3B-23DD-433A-9427-C2F3710CFADE}"/>
    <cellStyle name="Normal 4 2 2 4 2 3 4" xfId="9361" xr:uid="{2C775D8A-EFAD-4C2F-B1DA-7A32964C1FED}"/>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4B0AF1E6-661E-4FD2-B99E-709720BB844A}"/>
    <cellStyle name="Normal 4 2 2 4 2 4 2 3" xfId="11919" xr:uid="{A5629FEC-9633-4062-B4B0-7DCF8B8F98B8}"/>
    <cellStyle name="Normal 4 2 2 4 2 4 3" xfId="5553" xr:uid="{00000000-0005-0000-0000-0000AF120000}"/>
    <cellStyle name="Normal 4 2 2 4 2 4 3 2" xfId="13992" xr:uid="{7F4CBD81-7FC2-4830-9CBA-92B8ECC8F5F7}"/>
    <cellStyle name="Normal 4 2 2 4 2 4 4" xfId="9774" xr:uid="{D0D2B0A4-4097-4909-9A20-ED3F6FB43F09}"/>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1539B7C0-08B9-4E56-A816-5B5555BB23B9}"/>
    <cellStyle name="Normal 4 2 2 4 2 5 2 3" xfId="12332" xr:uid="{48402E3F-F38B-45E6-812C-232B9D631BC3}"/>
    <cellStyle name="Normal 4 2 2 4 2 5 3" xfId="5966" xr:uid="{00000000-0005-0000-0000-0000B3120000}"/>
    <cellStyle name="Normal 4 2 2 4 2 5 3 2" xfId="14405" xr:uid="{B18B7FA7-169E-47F5-840B-B9A1059A9925}"/>
    <cellStyle name="Normal 4 2 2 4 2 5 4" xfId="10187" xr:uid="{C289919F-BBD0-4DEC-93EB-E09934644F18}"/>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BAC6E8F8-5D75-41B7-BF4F-7D7D0E376A4B}"/>
    <cellStyle name="Normal 4 2 2 4 2 6 2 3" xfId="12745" xr:uid="{8087C8AF-A818-490E-9EB7-4FB893FFD379}"/>
    <cellStyle name="Normal 4 2 2 4 2 6 3" xfId="6379" xr:uid="{00000000-0005-0000-0000-0000B7120000}"/>
    <cellStyle name="Normal 4 2 2 4 2 6 3 2" xfId="14818" xr:uid="{41B2FDAB-A77A-4D86-9468-F46E3B4B1A5C}"/>
    <cellStyle name="Normal 4 2 2 4 2 6 4" xfId="10600" xr:uid="{66F808D2-2DDB-4832-88DC-DCA4542A34A0}"/>
    <cellStyle name="Normal 4 2 2 4 2 7" xfId="2508" xr:uid="{00000000-0005-0000-0000-0000B8120000}"/>
    <cellStyle name="Normal 4 2 2 4 2 7 2" xfId="6792" xr:uid="{00000000-0005-0000-0000-0000B9120000}"/>
    <cellStyle name="Normal 4 2 2 4 2 7 2 2" xfId="15231" xr:uid="{E2BC169A-C76F-44E5-92C0-649BB050758D}"/>
    <cellStyle name="Normal 4 2 2 4 2 7 3" xfId="11013" xr:uid="{F1E2C6CE-1537-45A1-943E-09780D58268F}"/>
    <cellStyle name="Normal 4 2 2 4 2 8" xfId="4727" xr:uid="{00000000-0005-0000-0000-0000BA120000}"/>
    <cellStyle name="Normal 4 2 2 4 2 8 2" xfId="13166" xr:uid="{A97A6B8B-39C7-445E-89EA-A8F3B5BD6FEB}"/>
    <cellStyle name="Normal 4 2 2 4 2 9" xfId="8948" xr:uid="{4F0148F5-8030-4561-AD3C-923DAB3EA95B}"/>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02FADE96-5536-48FD-B297-97A5FAE40D42}"/>
    <cellStyle name="Normal 4 2 2 4 3 2 2 3" xfId="11508" xr:uid="{44056087-5BDB-40D9-B961-157486490E93}"/>
    <cellStyle name="Normal 4 2 2 4 3 2 3" xfId="5142" xr:uid="{00000000-0005-0000-0000-0000BF120000}"/>
    <cellStyle name="Normal 4 2 2 4 3 2 3 2" xfId="13581" xr:uid="{B3FEB93C-A4E3-438C-BEAF-FDB05AB60661}"/>
    <cellStyle name="Normal 4 2 2 4 3 2 4" xfId="9363" xr:uid="{55235603-3F7D-44E0-AB03-C3AD0CEDFBC7}"/>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CC665772-5217-40C3-8277-339B9D04AE94}"/>
    <cellStyle name="Normal 4 2 2 4 3 3 2 3" xfId="11921" xr:uid="{93447BB6-246B-4EAC-81E2-FB2B8EF4E98A}"/>
    <cellStyle name="Normal 4 2 2 4 3 3 3" xfId="5555" xr:uid="{00000000-0005-0000-0000-0000C3120000}"/>
    <cellStyle name="Normal 4 2 2 4 3 3 3 2" xfId="13994" xr:uid="{20A7BE34-81A0-4430-B079-582DA3B8D6C8}"/>
    <cellStyle name="Normal 4 2 2 4 3 3 4" xfId="9776" xr:uid="{FC322643-7531-4566-BE5A-38382254A3BE}"/>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2F8F9EE3-4D8F-4222-BE7D-F7A9B800DA3C}"/>
    <cellStyle name="Normal 4 2 2 4 3 4 2 3" xfId="12334" xr:uid="{2B7B8499-318B-4199-84C5-C3EAB7A948AA}"/>
    <cellStyle name="Normal 4 2 2 4 3 4 3" xfId="5968" xr:uid="{00000000-0005-0000-0000-0000C7120000}"/>
    <cellStyle name="Normal 4 2 2 4 3 4 3 2" xfId="14407" xr:uid="{1A5BFCF2-8C19-4D92-BADE-01C61176230C}"/>
    <cellStyle name="Normal 4 2 2 4 3 4 4" xfId="10189" xr:uid="{F54BD9B3-8F17-454A-838C-5FC0A6017F27}"/>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53C4422B-02C5-4051-91BC-422E6C5C2BA8}"/>
    <cellStyle name="Normal 4 2 2 4 3 5 2 3" xfId="12747" xr:uid="{3E940242-865F-405A-A4E4-35F22FEFB261}"/>
    <cellStyle name="Normal 4 2 2 4 3 5 3" xfId="6381" xr:uid="{00000000-0005-0000-0000-0000CB120000}"/>
    <cellStyle name="Normal 4 2 2 4 3 5 3 2" xfId="14820" xr:uid="{C821E436-3643-483B-82B7-EB75F214D4BF}"/>
    <cellStyle name="Normal 4 2 2 4 3 5 4" xfId="10602" xr:uid="{E5428F19-EDFF-4750-8BCD-9DEFB04DFFF2}"/>
    <cellStyle name="Normal 4 2 2 4 3 6" xfId="2510" xr:uid="{00000000-0005-0000-0000-0000CC120000}"/>
    <cellStyle name="Normal 4 2 2 4 3 6 2" xfId="6794" xr:uid="{00000000-0005-0000-0000-0000CD120000}"/>
    <cellStyle name="Normal 4 2 2 4 3 6 2 2" xfId="15233" xr:uid="{F94529E3-1894-4F24-9A49-8DA040F66DF5}"/>
    <cellStyle name="Normal 4 2 2 4 3 6 3" xfId="11015" xr:uid="{78463F59-ACFF-457B-B5E7-FA0D3718313D}"/>
    <cellStyle name="Normal 4 2 2 4 3 7" xfId="4729" xr:uid="{00000000-0005-0000-0000-0000CE120000}"/>
    <cellStyle name="Normal 4 2 2 4 3 7 2" xfId="13168" xr:uid="{D0991CCF-C336-4026-AF9A-8AE72C2C8EFB}"/>
    <cellStyle name="Normal 4 2 2 4 3 8" xfId="8950" xr:uid="{F9B09551-DE31-44B6-BBEA-52F8FC6A4266}"/>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01FD79E3-28D6-46A4-A2B6-5E3BE860B1C5}"/>
    <cellStyle name="Normal 4 2 2 4 4 2 3" xfId="11505" xr:uid="{6526D393-3820-407D-A122-2E6703EB307A}"/>
    <cellStyle name="Normal 4 2 2 4 4 3" xfId="5139" xr:uid="{00000000-0005-0000-0000-0000D2120000}"/>
    <cellStyle name="Normal 4 2 2 4 4 3 2" xfId="13578" xr:uid="{2E0A2BC1-515D-44C1-93EB-66AD460FE518}"/>
    <cellStyle name="Normal 4 2 2 4 4 4" xfId="9360" xr:uid="{48AACFED-9C1C-45D3-AFFF-95EA056AEA9F}"/>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FE3C3397-630E-49EB-80AF-1BBEEF4C97FE}"/>
    <cellStyle name="Normal 4 2 2 4 5 2 3" xfId="11918" xr:uid="{B0607E37-6EB1-4370-A726-3E3BC2776D6B}"/>
    <cellStyle name="Normal 4 2 2 4 5 3" xfId="5552" xr:uid="{00000000-0005-0000-0000-0000D6120000}"/>
    <cellStyle name="Normal 4 2 2 4 5 3 2" xfId="13991" xr:uid="{566DD275-4F5F-48E7-9D96-9E0A64D411D6}"/>
    <cellStyle name="Normal 4 2 2 4 5 4" xfId="9773" xr:uid="{1AB616CE-5EBA-4ECC-B02D-7A4BF93C0484}"/>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2C03BD4E-E52E-422A-8EAB-13186B683645}"/>
    <cellStyle name="Normal 4 2 2 4 6 2 3" xfId="12331" xr:uid="{B5F229CE-CC9A-46F0-9077-6C70E8B90186}"/>
    <cellStyle name="Normal 4 2 2 4 6 3" xfId="5965" xr:uid="{00000000-0005-0000-0000-0000DA120000}"/>
    <cellStyle name="Normal 4 2 2 4 6 3 2" xfId="14404" xr:uid="{57763211-999F-4332-9652-2836566FFF81}"/>
    <cellStyle name="Normal 4 2 2 4 6 4" xfId="10186" xr:uid="{D518A0AF-F875-4FEB-8207-4DC60C0B03D1}"/>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8A0AD732-0C80-46F5-8C17-F3B1409ED676}"/>
    <cellStyle name="Normal 4 2 2 4 7 2 3" xfId="12744" xr:uid="{9730D102-B880-4D5A-B3CD-7A893E54629C}"/>
    <cellStyle name="Normal 4 2 2 4 7 3" xfId="6378" xr:uid="{00000000-0005-0000-0000-0000DE120000}"/>
    <cellStyle name="Normal 4 2 2 4 7 3 2" xfId="14817" xr:uid="{FF33F7FB-D9CC-4D10-9F96-8868394F4ADB}"/>
    <cellStyle name="Normal 4 2 2 4 7 4" xfId="10599" xr:uid="{1A022448-E362-45CC-ACF3-ADE2ADDBA180}"/>
    <cellStyle name="Normal 4 2 2 4 8" xfId="2507" xr:uid="{00000000-0005-0000-0000-0000DF120000}"/>
    <cellStyle name="Normal 4 2 2 4 8 2" xfId="6791" xr:uid="{00000000-0005-0000-0000-0000E0120000}"/>
    <cellStyle name="Normal 4 2 2 4 8 2 2" xfId="15230" xr:uid="{F3FFE900-EE18-4D44-8A71-90286DF0F4DB}"/>
    <cellStyle name="Normal 4 2 2 4 8 3" xfId="11012" xr:uid="{A9B2F4EA-3BBE-4A5B-BEDE-15C4E7AD2F17}"/>
    <cellStyle name="Normal 4 2 2 4 9" xfId="4726" xr:uid="{00000000-0005-0000-0000-0000E1120000}"/>
    <cellStyle name="Normal 4 2 2 4 9 2" xfId="13165" xr:uid="{81569D0B-DC32-4644-9C0B-F74E630F37F6}"/>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67CD4CC4-C1E2-4E8F-86DD-2C54D0856ABF}"/>
    <cellStyle name="Normal 4 2 2 5 2 2 2 3" xfId="11510" xr:uid="{AD34F872-99A0-43CC-8103-D833BB3DA9F2}"/>
    <cellStyle name="Normal 4 2 2 5 2 2 3" xfId="5144" xr:uid="{00000000-0005-0000-0000-0000E7120000}"/>
    <cellStyle name="Normal 4 2 2 5 2 2 3 2" xfId="13583" xr:uid="{36F67D94-FA8E-4424-ABB8-6C8E4EE1FB89}"/>
    <cellStyle name="Normal 4 2 2 5 2 2 4" xfId="9365" xr:uid="{D53E4EEB-ED36-4EC1-AE42-7112A913BAA1}"/>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759F6A5D-AC03-4124-826A-50E5DC4EADD4}"/>
    <cellStyle name="Normal 4 2 2 5 2 3 2 3" xfId="11923" xr:uid="{C79EA5E3-15D8-441E-BC37-838488B7E178}"/>
    <cellStyle name="Normal 4 2 2 5 2 3 3" xfId="5557" xr:uid="{00000000-0005-0000-0000-0000EB120000}"/>
    <cellStyle name="Normal 4 2 2 5 2 3 3 2" xfId="13996" xr:uid="{52E6CAA8-A88E-4C9A-B9EA-486C63D41EB9}"/>
    <cellStyle name="Normal 4 2 2 5 2 3 4" xfId="9778" xr:uid="{D8D1C534-B05A-4781-A7B8-8726C6703EE1}"/>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560859C0-3CA7-4B61-B546-891958AE92DC}"/>
    <cellStyle name="Normal 4 2 2 5 2 4 2 3" xfId="12336" xr:uid="{4C14F3D4-D812-4177-AFA5-886C1CAC32BF}"/>
    <cellStyle name="Normal 4 2 2 5 2 4 3" xfId="5970" xr:uid="{00000000-0005-0000-0000-0000EF120000}"/>
    <cellStyle name="Normal 4 2 2 5 2 4 3 2" xfId="14409" xr:uid="{E265CD3F-200B-4652-9627-6EDF59867BE5}"/>
    <cellStyle name="Normal 4 2 2 5 2 4 4" xfId="10191" xr:uid="{C7577C56-D2AE-4C40-BA8D-05F0C3A6EFD4}"/>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43990FA8-FB7F-4BE8-8195-B5902DAF0C8F}"/>
    <cellStyle name="Normal 4 2 2 5 2 5 2 3" xfId="12749" xr:uid="{53C438D2-3887-4DB8-9016-CF35B147FC76}"/>
    <cellStyle name="Normal 4 2 2 5 2 5 3" xfId="6383" xr:uid="{00000000-0005-0000-0000-0000F3120000}"/>
    <cellStyle name="Normal 4 2 2 5 2 5 3 2" xfId="14822" xr:uid="{A85A3803-6C61-47E5-8D54-6CA73FC6BA22}"/>
    <cellStyle name="Normal 4 2 2 5 2 5 4" xfId="10604" xr:uid="{87AA89E9-6F3F-484D-924B-E1BA13D70628}"/>
    <cellStyle name="Normal 4 2 2 5 2 6" xfId="2512" xr:uid="{00000000-0005-0000-0000-0000F4120000}"/>
    <cellStyle name="Normal 4 2 2 5 2 6 2" xfId="6796" xr:uid="{00000000-0005-0000-0000-0000F5120000}"/>
    <cellStyle name="Normal 4 2 2 5 2 6 2 2" xfId="15235" xr:uid="{EF402945-1A24-4F2B-8A80-13C40A218976}"/>
    <cellStyle name="Normal 4 2 2 5 2 6 3" xfId="11017" xr:uid="{50CE47D3-AB45-4515-8C5D-110B902EFF4D}"/>
    <cellStyle name="Normal 4 2 2 5 2 7" xfId="4731" xr:uid="{00000000-0005-0000-0000-0000F6120000}"/>
    <cellStyle name="Normal 4 2 2 5 2 7 2" xfId="13170" xr:uid="{2461B03F-660F-47F2-AA9B-37A2BD7C26F3}"/>
    <cellStyle name="Normal 4 2 2 5 2 8" xfId="8952" xr:uid="{3B9F0C4F-F570-44EB-B20D-36B7DE9C9AD8}"/>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13DA706C-77A9-4B19-81B4-8CC10C9E71F3}"/>
    <cellStyle name="Normal 4 2 2 5 3 2 3" xfId="11509" xr:uid="{0EF401EB-83AA-4B79-A910-50D865F76294}"/>
    <cellStyle name="Normal 4 2 2 5 3 3" xfId="5143" xr:uid="{00000000-0005-0000-0000-0000FA120000}"/>
    <cellStyle name="Normal 4 2 2 5 3 3 2" xfId="13582" xr:uid="{C90AC00F-4045-4BC9-8AA3-4F82EE4606F1}"/>
    <cellStyle name="Normal 4 2 2 5 3 4" xfId="9364" xr:uid="{05C6B4FD-64A7-40CB-BB8D-976D386D5F92}"/>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89A4E4BF-F82C-473D-A588-E40E2908AB27}"/>
    <cellStyle name="Normal 4 2 2 5 4 2 3" xfId="11922" xr:uid="{FE82E5C7-E94D-422F-8818-BFF654D13864}"/>
    <cellStyle name="Normal 4 2 2 5 4 3" xfId="5556" xr:uid="{00000000-0005-0000-0000-0000FE120000}"/>
    <cellStyle name="Normal 4 2 2 5 4 3 2" xfId="13995" xr:uid="{20F02708-2909-4F76-854F-42E3A2B3FCC3}"/>
    <cellStyle name="Normal 4 2 2 5 4 4" xfId="9777" xr:uid="{5D05A84D-B75A-4715-9C29-79C33115424D}"/>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D20CE3C6-9FD9-410E-9C06-394346DADEFE}"/>
    <cellStyle name="Normal 4 2 2 5 5 2 3" xfId="12335" xr:uid="{35EF46C2-652E-40E0-AC10-2F8463EEF1FE}"/>
    <cellStyle name="Normal 4 2 2 5 5 3" xfId="5969" xr:uid="{00000000-0005-0000-0000-000002130000}"/>
    <cellStyle name="Normal 4 2 2 5 5 3 2" xfId="14408" xr:uid="{F59485FA-2E83-4AAF-8B6F-F56FECC85FFE}"/>
    <cellStyle name="Normal 4 2 2 5 5 4" xfId="10190" xr:uid="{490682BC-D4C3-40A7-A1D3-FD17B7365946}"/>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1539CCD0-8A7C-40AA-B2DA-ABB3D13AE828}"/>
    <cellStyle name="Normal 4 2 2 5 6 2 3" xfId="12748" xr:uid="{C477CCBD-8BF8-43EA-B5C9-249C45F43723}"/>
    <cellStyle name="Normal 4 2 2 5 6 3" xfId="6382" xr:uid="{00000000-0005-0000-0000-000006130000}"/>
    <cellStyle name="Normal 4 2 2 5 6 3 2" xfId="14821" xr:uid="{93AB3531-A9D2-4694-81B1-27701CF6FED4}"/>
    <cellStyle name="Normal 4 2 2 5 6 4" xfId="10603" xr:uid="{5DDB6B5A-C5BA-4A35-9EEE-6282B43E7671}"/>
    <cellStyle name="Normal 4 2 2 5 7" xfId="2511" xr:uid="{00000000-0005-0000-0000-000007130000}"/>
    <cellStyle name="Normal 4 2 2 5 7 2" xfId="6795" xr:uid="{00000000-0005-0000-0000-000008130000}"/>
    <cellStyle name="Normal 4 2 2 5 7 2 2" xfId="15234" xr:uid="{0BD19BE3-B5B2-4FEF-B480-D7C222054A4E}"/>
    <cellStyle name="Normal 4 2 2 5 7 3" xfId="11016" xr:uid="{8C3F2294-D57E-4CCE-9E8D-1C33B117D0BF}"/>
    <cellStyle name="Normal 4 2 2 5 8" xfId="4730" xr:uid="{00000000-0005-0000-0000-000009130000}"/>
    <cellStyle name="Normal 4 2 2 5 8 2" xfId="13169" xr:uid="{B4C849E9-16C2-4FE3-A127-455E980019E7}"/>
    <cellStyle name="Normal 4 2 2 5 9" xfId="8951" xr:uid="{A3D86EA4-89CE-436A-940E-61950597707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C10AE3B0-21B2-4406-86F4-E24BEC8A9AA5}"/>
    <cellStyle name="Normal 4 2 2 6 2 2 3" xfId="11511" xr:uid="{6A750524-BE94-4697-80C8-C3D22B22CB2F}"/>
    <cellStyle name="Normal 4 2 2 6 2 3" xfId="5145" xr:uid="{00000000-0005-0000-0000-00000E130000}"/>
    <cellStyle name="Normal 4 2 2 6 2 3 2" xfId="13584" xr:uid="{12D50C84-E3FE-4EA6-A022-4A34DADDC14C}"/>
    <cellStyle name="Normal 4 2 2 6 2 4" xfId="9366" xr:uid="{F89B619B-9702-4998-A320-11CC81E2C6A8}"/>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E1402E6F-6030-4757-9B5E-A44801A597FD}"/>
    <cellStyle name="Normal 4 2 2 6 3 2 3" xfId="11924" xr:uid="{2D68C5C8-0A89-4826-A9E1-E9335B0D7EDC}"/>
    <cellStyle name="Normal 4 2 2 6 3 3" xfId="5558" xr:uid="{00000000-0005-0000-0000-000012130000}"/>
    <cellStyle name="Normal 4 2 2 6 3 3 2" xfId="13997" xr:uid="{5C4623A4-AC9B-413B-8ACC-C1A5A90455F0}"/>
    <cellStyle name="Normal 4 2 2 6 3 4" xfId="9779" xr:uid="{5C960358-BBC1-4C2B-A9BF-E8C175D5B665}"/>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BA7AD835-E4C7-4539-8D56-5085DE2BE8A6}"/>
    <cellStyle name="Normal 4 2 2 6 4 2 3" xfId="12337" xr:uid="{91E63FCC-2474-4A48-9807-169A3641A53E}"/>
    <cellStyle name="Normal 4 2 2 6 4 3" xfId="5971" xr:uid="{00000000-0005-0000-0000-000016130000}"/>
    <cellStyle name="Normal 4 2 2 6 4 3 2" xfId="14410" xr:uid="{3C89D9C6-6CDD-4D2E-AA47-06DE2EAFE574}"/>
    <cellStyle name="Normal 4 2 2 6 4 4" xfId="10192" xr:uid="{C4EB16C3-FEC8-4A43-8AB1-1C9E0C4CFCFE}"/>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A523806E-E582-42F4-B566-BC2171547DDC}"/>
    <cellStyle name="Normal 4 2 2 6 5 2 3" xfId="12750" xr:uid="{C09A9946-69E0-4878-8672-36EEB975B0DA}"/>
    <cellStyle name="Normal 4 2 2 6 5 3" xfId="6384" xr:uid="{00000000-0005-0000-0000-00001A130000}"/>
    <cellStyle name="Normal 4 2 2 6 5 3 2" xfId="14823" xr:uid="{F3442980-9810-4A54-A7AB-7BEA134D4EB5}"/>
    <cellStyle name="Normal 4 2 2 6 5 4" xfId="10605" xr:uid="{454AAA8D-AE06-4D28-86BB-7A22CAC0A69A}"/>
    <cellStyle name="Normal 4 2 2 6 6" xfId="2513" xr:uid="{00000000-0005-0000-0000-00001B130000}"/>
    <cellStyle name="Normal 4 2 2 6 6 2" xfId="6797" xr:uid="{00000000-0005-0000-0000-00001C130000}"/>
    <cellStyle name="Normal 4 2 2 6 6 2 2" xfId="15236" xr:uid="{F8BA30EC-4121-45C7-9B3A-1FF71F8C1B68}"/>
    <cellStyle name="Normal 4 2 2 6 6 3" xfId="11018" xr:uid="{EBB4E582-14CD-4441-A88F-458A74982E7C}"/>
    <cellStyle name="Normal 4 2 2 6 7" xfId="4732" xr:uid="{00000000-0005-0000-0000-00001D130000}"/>
    <cellStyle name="Normal 4 2 2 6 7 2" xfId="13171" xr:uid="{BB5B3B5F-30D7-4039-A0C0-3708CAE63B6E}"/>
    <cellStyle name="Normal 4 2 2 6 8" xfId="8953" xr:uid="{DC384F01-1B06-4A09-BAAE-1FB5B43E4FB7}"/>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FD50586C-23D6-4915-88CA-6A8AD6E23792}"/>
    <cellStyle name="Normal 4 2 2 7 2 3" xfId="11496" xr:uid="{CF78A7F7-C67E-4650-962D-2ADD6A87E4F2}"/>
    <cellStyle name="Normal 4 2 2 7 3" xfId="5130" xr:uid="{00000000-0005-0000-0000-000021130000}"/>
    <cellStyle name="Normal 4 2 2 7 3 2" xfId="13569" xr:uid="{ED64192D-DAAA-4950-B9A7-5C0CC90DA382}"/>
    <cellStyle name="Normal 4 2 2 7 4" xfId="9351" xr:uid="{3C08A05C-FC8D-4BBF-BA0F-FAB02F19F8DF}"/>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0491D12B-CC26-4E7F-9304-CB3CF4D06EA6}"/>
    <cellStyle name="Normal 4 2 2 8 2 3" xfId="11909" xr:uid="{2A5B30C6-1883-47E9-9AA3-C354B5DE340C}"/>
    <cellStyle name="Normal 4 2 2 8 3" xfId="5543" xr:uid="{00000000-0005-0000-0000-000025130000}"/>
    <cellStyle name="Normal 4 2 2 8 3 2" xfId="13982" xr:uid="{D9268E46-5D9F-4AFE-AF54-B49BCAEAD7DF}"/>
    <cellStyle name="Normal 4 2 2 8 4" xfId="9764" xr:uid="{288C72DA-FA51-4FCA-B808-76AA63319DAD}"/>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E26D4443-74C6-44FD-B4EF-E43EBB82F577}"/>
    <cellStyle name="Normal 4 2 2 9 2 3" xfId="12322" xr:uid="{5941B547-9189-4407-8BFB-11801B497D7F}"/>
    <cellStyle name="Normal 4 2 2 9 3" xfId="5956" xr:uid="{00000000-0005-0000-0000-000029130000}"/>
    <cellStyle name="Normal 4 2 2 9 3 2" xfId="14395" xr:uid="{A99A307C-AF07-43DD-A4DA-25009868A22C}"/>
    <cellStyle name="Normal 4 2 2 9 4" xfId="10177" xr:uid="{EDDF360B-BBF7-41B9-BA8F-E313B0DC6215}"/>
    <cellStyle name="Normal 4 2 3" xfId="354" xr:uid="{00000000-0005-0000-0000-00002A130000}"/>
    <cellStyle name="Normal 4 2 4" xfId="355" xr:uid="{00000000-0005-0000-0000-00002B130000}"/>
    <cellStyle name="Normal 4 2 4 10" xfId="4733" xr:uid="{00000000-0005-0000-0000-00002C130000}"/>
    <cellStyle name="Normal 4 2 4 10 2" xfId="13172" xr:uid="{4A4749A1-B29E-46FF-A338-73973D2B7931}"/>
    <cellStyle name="Normal 4 2 4 11" xfId="8954" xr:uid="{8A5BEC3C-4E68-49E3-9F2D-7C310E108AC4}"/>
    <cellStyle name="Normal 4 2 4 2" xfId="356" xr:uid="{00000000-0005-0000-0000-00002D130000}"/>
    <cellStyle name="Normal 4 2 4 2 10" xfId="8955" xr:uid="{D7214941-301C-4E05-B2CE-57D3BCC499DF}"/>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BD1D55CF-FC41-47CF-9049-8939D1530573}"/>
    <cellStyle name="Normal 4 2 4 2 2 2 2 2 3" xfId="11515" xr:uid="{D0E6E31D-80CE-438D-BC79-D545F0D06A68}"/>
    <cellStyle name="Normal 4 2 4 2 2 2 2 3" xfId="5149" xr:uid="{00000000-0005-0000-0000-000033130000}"/>
    <cellStyle name="Normal 4 2 4 2 2 2 2 3 2" xfId="13588" xr:uid="{96A96B0B-A60D-4D8A-BEE3-006D47C1078B}"/>
    <cellStyle name="Normal 4 2 4 2 2 2 2 4" xfId="9370" xr:uid="{7F6954EB-8F77-4527-934D-43D8A89C4728}"/>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41AC37C5-0262-4D54-B6F5-692CE7DBACB0}"/>
    <cellStyle name="Normal 4 2 4 2 2 2 3 2 3" xfId="11928" xr:uid="{31BF55A9-296D-4A69-A062-36BC9AC116F2}"/>
    <cellStyle name="Normal 4 2 4 2 2 2 3 3" xfId="5562" xr:uid="{00000000-0005-0000-0000-000037130000}"/>
    <cellStyle name="Normal 4 2 4 2 2 2 3 3 2" xfId="14001" xr:uid="{19319099-B26A-4186-A458-C1085BA6A709}"/>
    <cellStyle name="Normal 4 2 4 2 2 2 3 4" xfId="9783" xr:uid="{6E209B58-AE34-4D96-9753-04D762560D32}"/>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A1587E67-2DBC-43DE-82AC-D46C3631BCCF}"/>
    <cellStyle name="Normal 4 2 4 2 2 2 4 2 3" xfId="12341" xr:uid="{94EF3900-6A30-4B68-9248-9724AD19CBC2}"/>
    <cellStyle name="Normal 4 2 4 2 2 2 4 3" xfId="5975" xr:uid="{00000000-0005-0000-0000-00003B130000}"/>
    <cellStyle name="Normal 4 2 4 2 2 2 4 3 2" xfId="14414" xr:uid="{2BC833CC-84F2-49FA-8EA0-29070C7E3CF8}"/>
    <cellStyle name="Normal 4 2 4 2 2 2 4 4" xfId="10196" xr:uid="{D39C5757-31F1-4DB6-B8E6-85D07C006A3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4CB9FCBE-7497-4560-8BA8-ABDC644C5BC5}"/>
    <cellStyle name="Normal 4 2 4 2 2 2 5 2 3" xfId="12754" xr:uid="{96CB56F2-D260-4D57-A0C6-8C451B8D5686}"/>
    <cellStyle name="Normal 4 2 4 2 2 2 5 3" xfId="6388" xr:uid="{00000000-0005-0000-0000-00003F130000}"/>
    <cellStyle name="Normal 4 2 4 2 2 2 5 3 2" xfId="14827" xr:uid="{B925ACC6-9516-4935-B87D-1DDA441C31DC}"/>
    <cellStyle name="Normal 4 2 4 2 2 2 5 4" xfId="10609" xr:uid="{3A344BC8-499E-4210-996F-597AF0AF924D}"/>
    <cellStyle name="Normal 4 2 4 2 2 2 6" xfId="2517" xr:uid="{00000000-0005-0000-0000-000040130000}"/>
    <cellStyle name="Normal 4 2 4 2 2 2 6 2" xfId="6801" xr:uid="{00000000-0005-0000-0000-000041130000}"/>
    <cellStyle name="Normal 4 2 4 2 2 2 6 2 2" xfId="15240" xr:uid="{E55FF497-B5EB-4995-B9B3-A99F2D9AC315}"/>
    <cellStyle name="Normal 4 2 4 2 2 2 6 3" xfId="11022" xr:uid="{96D3A5C5-BF79-4FAC-9008-4E671AB5110C}"/>
    <cellStyle name="Normal 4 2 4 2 2 2 7" xfId="4736" xr:uid="{00000000-0005-0000-0000-000042130000}"/>
    <cellStyle name="Normal 4 2 4 2 2 2 7 2" xfId="13175" xr:uid="{C979AB1C-BE89-49F5-88F1-2AC510BB9762}"/>
    <cellStyle name="Normal 4 2 4 2 2 2 8" xfId="8957" xr:uid="{C243D9A1-9193-4836-BA2C-EAE5B083449F}"/>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D5D1478B-D1F8-4A92-802C-D72AF07019D2}"/>
    <cellStyle name="Normal 4 2 4 2 2 3 2 3" xfId="11514" xr:uid="{6EDA4324-B26B-426D-AC6A-C352047DBDCD}"/>
    <cellStyle name="Normal 4 2 4 2 2 3 3" xfId="5148" xr:uid="{00000000-0005-0000-0000-000046130000}"/>
    <cellStyle name="Normal 4 2 4 2 2 3 3 2" xfId="13587" xr:uid="{03C730FB-48CB-47E0-8196-A921BBA372B8}"/>
    <cellStyle name="Normal 4 2 4 2 2 3 4" xfId="9369" xr:uid="{34319D66-8D74-4922-9406-F4AC01068A04}"/>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C5C81944-0FD6-4031-9816-88BADB65E0D5}"/>
    <cellStyle name="Normal 4 2 4 2 2 4 2 3" xfId="11927" xr:uid="{572EA709-B31D-4A9B-8002-DF493AAC4FAA}"/>
    <cellStyle name="Normal 4 2 4 2 2 4 3" xfId="5561" xr:uid="{00000000-0005-0000-0000-00004A130000}"/>
    <cellStyle name="Normal 4 2 4 2 2 4 3 2" xfId="14000" xr:uid="{F770E075-807E-4FF8-8890-021B27F53FD7}"/>
    <cellStyle name="Normal 4 2 4 2 2 4 4" xfId="9782" xr:uid="{EA689711-8E0C-4401-BD37-65D1488D6304}"/>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E4572D54-FEE2-453E-9463-D1B552BBCCBD}"/>
    <cellStyle name="Normal 4 2 4 2 2 5 2 3" xfId="12340" xr:uid="{89349E41-551B-4FCD-B31E-0732C3075A30}"/>
    <cellStyle name="Normal 4 2 4 2 2 5 3" xfId="5974" xr:uid="{00000000-0005-0000-0000-00004E130000}"/>
    <cellStyle name="Normal 4 2 4 2 2 5 3 2" xfId="14413" xr:uid="{519DFDF0-8D00-4245-9E3F-7A714E942209}"/>
    <cellStyle name="Normal 4 2 4 2 2 5 4" xfId="10195" xr:uid="{63B15CB8-977D-458B-924F-8741F1FBE4A8}"/>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6BA76EF1-035B-4280-A5D9-8747CFFD4245}"/>
    <cellStyle name="Normal 4 2 4 2 2 6 2 3" xfId="12753" xr:uid="{7E5080D5-C394-405E-AF5B-47EA4E77820F}"/>
    <cellStyle name="Normal 4 2 4 2 2 6 3" xfId="6387" xr:uid="{00000000-0005-0000-0000-000052130000}"/>
    <cellStyle name="Normal 4 2 4 2 2 6 3 2" xfId="14826" xr:uid="{18878E9B-9508-4440-9601-C6C0D9555B40}"/>
    <cellStyle name="Normal 4 2 4 2 2 6 4" xfId="10608" xr:uid="{8700680B-9698-4C1F-AF9C-DF88863A798E}"/>
    <cellStyle name="Normal 4 2 4 2 2 7" xfId="2516" xr:uid="{00000000-0005-0000-0000-000053130000}"/>
    <cellStyle name="Normal 4 2 4 2 2 7 2" xfId="6800" xr:uid="{00000000-0005-0000-0000-000054130000}"/>
    <cellStyle name="Normal 4 2 4 2 2 7 2 2" xfId="15239" xr:uid="{15E2072B-5E8F-4EBC-9724-686C63359B5E}"/>
    <cellStyle name="Normal 4 2 4 2 2 7 3" xfId="11021" xr:uid="{BFDE38FE-4D26-46D4-A912-40D265E0D7BA}"/>
    <cellStyle name="Normal 4 2 4 2 2 8" xfId="4735" xr:uid="{00000000-0005-0000-0000-000055130000}"/>
    <cellStyle name="Normal 4 2 4 2 2 8 2" xfId="13174" xr:uid="{D64001E7-AC51-48A5-BB91-1B3BF637D8EB}"/>
    <cellStyle name="Normal 4 2 4 2 2 9" xfId="8956" xr:uid="{26E8EBDD-79CD-455D-8DCE-FD38DB14FAC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FF4106B5-73B3-4085-827C-4DBAA33E5A58}"/>
    <cellStyle name="Normal 4 2 4 2 3 2 2 3" xfId="11516" xr:uid="{ACE2A8DF-DDF4-4D39-9AAC-6BD45C2D80CD}"/>
    <cellStyle name="Normal 4 2 4 2 3 2 3" xfId="5150" xr:uid="{00000000-0005-0000-0000-00005A130000}"/>
    <cellStyle name="Normal 4 2 4 2 3 2 3 2" xfId="13589" xr:uid="{ADAB4644-71B8-4D14-B41D-32FC73076B26}"/>
    <cellStyle name="Normal 4 2 4 2 3 2 4" xfId="9371" xr:uid="{9C131538-5220-4B09-8544-D21CD07ADC07}"/>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66852A36-DE00-4F0E-9BAB-F8C38ADECF97}"/>
    <cellStyle name="Normal 4 2 4 2 3 3 2 3" xfId="11929" xr:uid="{2E328F61-E3C5-47D0-9C4F-C511F2BD2044}"/>
    <cellStyle name="Normal 4 2 4 2 3 3 3" xfId="5563" xr:uid="{00000000-0005-0000-0000-00005E130000}"/>
    <cellStyle name="Normal 4 2 4 2 3 3 3 2" xfId="14002" xr:uid="{6529F8CF-17B3-4C16-833E-F75FAA5A070A}"/>
    <cellStyle name="Normal 4 2 4 2 3 3 4" xfId="9784" xr:uid="{45A3D33A-C9B2-4AAB-B967-D4BB34EAB17F}"/>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71652588-704E-4834-A043-D546734442A5}"/>
    <cellStyle name="Normal 4 2 4 2 3 4 2 3" xfId="12342" xr:uid="{BAA634DA-A46A-428D-B9EC-3EA98754850C}"/>
    <cellStyle name="Normal 4 2 4 2 3 4 3" xfId="5976" xr:uid="{00000000-0005-0000-0000-000062130000}"/>
    <cellStyle name="Normal 4 2 4 2 3 4 3 2" xfId="14415" xr:uid="{97BDEF6B-1D35-4A6A-91D7-D1449243E1EB}"/>
    <cellStyle name="Normal 4 2 4 2 3 4 4" xfId="10197" xr:uid="{6F01E922-50FA-40BF-BBB2-1F95BB1AFEAC}"/>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C5E0C56E-F6C4-4258-857F-DCEACBC2428D}"/>
    <cellStyle name="Normal 4 2 4 2 3 5 2 3" xfId="12755" xr:uid="{57F8CAAD-50EA-4F27-9398-D2D1FAC67147}"/>
    <cellStyle name="Normal 4 2 4 2 3 5 3" xfId="6389" xr:uid="{00000000-0005-0000-0000-000066130000}"/>
    <cellStyle name="Normal 4 2 4 2 3 5 3 2" xfId="14828" xr:uid="{9A0220D3-60C7-4A7F-9271-692F942D68F4}"/>
    <cellStyle name="Normal 4 2 4 2 3 5 4" xfId="10610" xr:uid="{7835FBBC-8A72-4A4D-B3E0-CFA041106093}"/>
    <cellStyle name="Normal 4 2 4 2 3 6" xfId="2518" xr:uid="{00000000-0005-0000-0000-000067130000}"/>
    <cellStyle name="Normal 4 2 4 2 3 6 2" xfId="6802" xr:uid="{00000000-0005-0000-0000-000068130000}"/>
    <cellStyle name="Normal 4 2 4 2 3 6 2 2" xfId="15241" xr:uid="{D9CAC8D6-657A-47B2-BBEF-6F76D225591F}"/>
    <cellStyle name="Normal 4 2 4 2 3 6 3" xfId="11023" xr:uid="{7262FFBE-E42A-4258-8EDE-AEFDA5FEB031}"/>
    <cellStyle name="Normal 4 2 4 2 3 7" xfId="4737" xr:uid="{00000000-0005-0000-0000-000069130000}"/>
    <cellStyle name="Normal 4 2 4 2 3 7 2" xfId="13176" xr:uid="{CEAB659C-3A57-421A-A5FA-03982F46CE38}"/>
    <cellStyle name="Normal 4 2 4 2 3 8" xfId="8958" xr:uid="{E98D04B1-F9DE-4A89-B075-F692833F3186}"/>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B078D3EA-FC40-4033-BEBE-705DE52A7129}"/>
    <cellStyle name="Normal 4 2 4 2 4 2 3" xfId="11513" xr:uid="{A8BC5E89-E93E-4818-9900-4C47BF054F11}"/>
    <cellStyle name="Normal 4 2 4 2 4 3" xfId="5147" xr:uid="{00000000-0005-0000-0000-00006D130000}"/>
    <cellStyle name="Normal 4 2 4 2 4 3 2" xfId="13586" xr:uid="{3E77A8F6-6123-4C33-94D4-799E2A457FFF}"/>
    <cellStyle name="Normal 4 2 4 2 4 4" xfId="9368" xr:uid="{4B37F7CD-C799-46A4-BD7E-678A48F62D37}"/>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35C68308-58ED-4C1C-B3AF-8C588447EF96}"/>
    <cellStyle name="Normal 4 2 4 2 5 2 3" xfId="11926" xr:uid="{E7397589-1D37-4AEB-BE5D-0D57CE039F4C}"/>
    <cellStyle name="Normal 4 2 4 2 5 3" xfId="5560" xr:uid="{00000000-0005-0000-0000-000071130000}"/>
    <cellStyle name="Normal 4 2 4 2 5 3 2" xfId="13999" xr:uid="{29683280-289F-43A0-BDC2-E30ECED1E22B}"/>
    <cellStyle name="Normal 4 2 4 2 5 4" xfId="9781" xr:uid="{BE465BD2-9D22-4833-86EE-88BFF1077CEC}"/>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C3ED2269-AE38-4283-9C45-5E1F2E97DCD2}"/>
    <cellStyle name="Normal 4 2 4 2 6 2 3" xfId="12339" xr:uid="{75FB0A2C-B28F-4D88-8BDF-887563918E48}"/>
    <cellStyle name="Normal 4 2 4 2 6 3" xfId="5973" xr:uid="{00000000-0005-0000-0000-000075130000}"/>
    <cellStyle name="Normal 4 2 4 2 6 3 2" xfId="14412" xr:uid="{0E097F19-3A2E-41C6-B5E6-43603EA5C4ED}"/>
    <cellStyle name="Normal 4 2 4 2 6 4" xfId="10194" xr:uid="{F1301CE1-EEA1-4FB9-A215-FB7752638A35}"/>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7AD8FA7B-8FE6-48E6-906E-A2BBC6984D57}"/>
    <cellStyle name="Normal 4 2 4 2 7 2 3" xfId="12752" xr:uid="{6191F168-666A-4C76-BD30-69FD3D146A06}"/>
    <cellStyle name="Normal 4 2 4 2 7 3" xfId="6386" xr:uid="{00000000-0005-0000-0000-000079130000}"/>
    <cellStyle name="Normal 4 2 4 2 7 3 2" xfId="14825" xr:uid="{F771B308-3118-45B8-AC72-616EF04A0FA1}"/>
    <cellStyle name="Normal 4 2 4 2 7 4" xfId="10607" xr:uid="{1A795C75-17DB-4C85-B81E-4AAFCDEA0FD2}"/>
    <cellStyle name="Normal 4 2 4 2 8" xfId="2515" xr:uid="{00000000-0005-0000-0000-00007A130000}"/>
    <cellStyle name="Normal 4 2 4 2 8 2" xfId="6799" xr:uid="{00000000-0005-0000-0000-00007B130000}"/>
    <cellStyle name="Normal 4 2 4 2 8 2 2" xfId="15238" xr:uid="{25A69129-90FA-4E02-AD78-D18ED05B4F07}"/>
    <cellStyle name="Normal 4 2 4 2 8 3" xfId="11020" xr:uid="{60062B23-35E9-4BA3-B732-77761BC14855}"/>
    <cellStyle name="Normal 4 2 4 2 9" xfId="4734" xr:uid="{00000000-0005-0000-0000-00007C130000}"/>
    <cellStyle name="Normal 4 2 4 2 9 2" xfId="13173" xr:uid="{DB2B5E7C-FADB-4E69-BD61-FE99A425F087}"/>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EBB3F1BA-83DB-4364-9B66-CA37E7959120}"/>
    <cellStyle name="Normal 4 2 4 3 2 2 2 3" xfId="11518" xr:uid="{B36B1687-EFC8-451F-A707-AECC7F331BA7}"/>
    <cellStyle name="Normal 4 2 4 3 2 2 3" xfId="5152" xr:uid="{00000000-0005-0000-0000-000082130000}"/>
    <cellStyle name="Normal 4 2 4 3 2 2 3 2" xfId="13591" xr:uid="{D8D752A4-C139-4C61-913D-EE1CA4EC3E6A}"/>
    <cellStyle name="Normal 4 2 4 3 2 2 4" xfId="9373" xr:uid="{56CE74E4-0A6F-4FF5-8CC3-B982DE939AA6}"/>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66BE7604-9872-4E89-B636-ACB0A3F87D51}"/>
    <cellStyle name="Normal 4 2 4 3 2 3 2 3" xfId="11931" xr:uid="{21CF47BB-2F4A-4D8B-812E-063D93012685}"/>
    <cellStyle name="Normal 4 2 4 3 2 3 3" xfId="5565" xr:uid="{00000000-0005-0000-0000-000086130000}"/>
    <cellStyle name="Normal 4 2 4 3 2 3 3 2" xfId="14004" xr:uid="{23CDA321-CF6D-441E-8C3F-CE38C74CAC4B}"/>
    <cellStyle name="Normal 4 2 4 3 2 3 4" xfId="9786" xr:uid="{FF586DFB-3E5B-4A6B-97D8-C3580D247D2A}"/>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AAE90EFA-32F6-4CC7-A231-9B5C8FB99B91}"/>
    <cellStyle name="Normal 4 2 4 3 2 4 2 3" xfId="12344" xr:uid="{FC5BFF58-7F37-4F42-A3F9-1F6B22116D09}"/>
    <cellStyle name="Normal 4 2 4 3 2 4 3" xfId="5978" xr:uid="{00000000-0005-0000-0000-00008A130000}"/>
    <cellStyle name="Normal 4 2 4 3 2 4 3 2" xfId="14417" xr:uid="{D2DC7412-0174-473B-8ADF-8567DB3EAEF5}"/>
    <cellStyle name="Normal 4 2 4 3 2 4 4" xfId="10199" xr:uid="{F1E69C5B-16E4-48E3-9F8E-CD2C32825DA6}"/>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4EC32DAB-2380-4903-94D6-94C7C53BF2F5}"/>
    <cellStyle name="Normal 4 2 4 3 2 5 2 3" xfId="12757" xr:uid="{FA0C5513-F4D4-4DD0-B798-E9D386BF2563}"/>
    <cellStyle name="Normal 4 2 4 3 2 5 3" xfId="6391" xr:uid="{00000000-0005-0000-0000-00008E130000}"/>
    <cellStyle name="Normal 4 2 4 3 2 5 3 2" xfId="14830" xr:uid="{975BDDEA-C641-45C0-8289-56144C6BD306}"/>
    <cellStyle name="Normal 4 2 4 3 2 5 4" xfId="10612" xr:uid="{AA29AD6F-6612-4DAA-92A0-5B18FBE25301}"/>
    <cellStyle name="Normal 4 2 4 3 2 6" xfId="2520" xr:uid="{00000000-0005-0000-0000-00008F130000}"/>
    <cellStyle name="Normal 4 2 4 3 2 6 2" xfId="6804" xr:uid="{00000000-0005-0000-0000-000090130000}"/>
    <cellStyle name="Normal 4 2 4 3 2 6 2 2" xfId="15243" xr:uid="{28EB39BF-B33F-45FF-80CE-3C90EEC5BB42}"/>
    <cellStyle name="Normal 4 2 4 3 2 6 3" xfId="11025" xr:uid="{20ABA3C1-5BB8-4FDB-AACC-DB542BF9EB03}"/>
    <cellStyle name="Normal 4 2 4 3 2 7" xfId="4739" xr:uid="{00000000-0005-0000-0000-000091130000}"/>
    <cellStyle name="Normal 4 2 4 3 2 7 2" xfId="13178" xr:uid="{B238B0C5-574F-40DB-87FC-956966A8B932}"/>
    <cellStyle name="Normal 4 2 4 3 2 8" xfId="8960" xr:uid="{232B56D3-9287-4AE5-9F80-A1EBD848403C}"/>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9BD8FA12-8584-472A-9FA6-09B46127DB4D}"/>
    <cellStyle name="Normal 4 2 4 3 3 2 3" xfId="11517" xr:uid="{82C199EB-059E-4B8A-941B-A652E845BD22}"/>
    <cellStyle name="Normal 4 2 4 3 3 3" xfId="5151" xr:uid="{00000000-0005-0000-0000-000095130000}"/>
    <cellStyle name="Normal 4 2 4 3 3 3 2" xfId="13590" xr:uid="{80CDFE1E-87D0-45E4-9D15-B39B18FBF041}"/>
    <cellStyle name="Normal 4 2 4 3 3 4" xfId="9372" xr:uid="{454469A2-BB53-4A7A-A62C-1585B7028A14}"/>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918561BF-569C-423B-A25A-62B990F92446}"/>
    <cellStyle name="Normal 4 2 4 3 4 2 3" xfId="11930" xr:uid="{023D1A10-CF3F-431C-A191-49ECB21D9FBB}"/>
    <cellStyle name="Normal 4 2 4 3 4 3" xfId="5564" xr:uid="{00000000-0005-0000-0000-000099130000}"/>
    <cellStyle name="Normal 4 2 4 3 4 3 2" xfId="14003" xr:uid="{CEB7A28F-E0AD-48D9-9B40-430CDAE70DB1}"/>
    <cellStyle name="Normal 4 2 4 3 4 4" xfId="9785" xr:uid="{36EF0766-DC74-4B36-AEC8-ABC41289BA8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8FCC056C-11EF-4CB6-87BE-FC37AD2B54B9}"/>
    <cellStyle name="Normal 4 2 4 3 5 2 3" xfId="12343" xr:uid="{532328CD-3748-4DB2-A79D-AB4C66547C77}"/>
    <cellStyle name="Normal 4 2 4 3 5 3" xfId="5977" xr:uid="{00000000-0005-0000-0000-00009D130000}"/>
    <cellStyle name="Normal 4 2 4 3 5 3 2" xfId="14416" xr:uid="{C7C5A7CC-7FFA-40A4-A94A-18275D35EB1B}"/>
    <cellStyle name="Normal 4 2 4 3 5 4" xfId="10198" xr:uid="{9FFF2E5B-40F6-43B2-801E-5ECEF3412859}"/>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99639ACF-C16F-40B3-A126-DBBB50D6FAA5}"/>
    <cellStyle name="Normal 4 2 4 3 6 2 3" xfId="12756" xr:uid="{08A8054E-DF7D-4EA9-BE19-135725FF9724}"/>
    <cellStyle name="Normal 4 2 4 3 6 3" xfId="6390" xr:uid="{00000000-0005-0000-0000-0000A1130000}"/>
    <cellStyle name="Normal 4 2 4 3 6 3 2" xfId="14829" xr:uid="{30DC635E-7026-4C95-92D7-ABBC0D75FA85}"/>
    <cellStyle name="Normal 4 2 4 3 6 4" xfId="10611" xr:uid="{8FE87632-132C-4B55-BE16-E1B6BB68FF64}"/>
    <cellStyle name="Normal 4 2 4 3 7" xfId="2519" xr:uid="{00000000-0005-0000-0000-0000A2130000}"/>
    <cellStyle name="Normal 4 2 4 3 7 2" xfId="6803" xr:uid="{00000000-0005-0000-0000-0000A3130000}"/>
    <cellStyle name="Normal 4 2 4 3 7 2 2" xfId="15242" xr:uid="{79566335-60B6-41A9-85FD-1F784F82D743}"/>
    <cellStyle name="Normal 4 2 4 3 7 3" xfId="11024" xr:uid="{47C429DD-3EE6-4879-875C-4610610FDA5B}"/>
    <cellStyle name="Normal 4 2 4 3 8" xfId="4738" xr:uid="{00000000-0005-0000-0000-0000A4130000}"/>
    <cellStyle name="Normal 4 2 4 3 8 2" xfId="13177" xr:uid="{D0990F26-029D-4361-A3EF-6FABFFFD7D4A}"/>
    <cellStyle name="Normal 4 2 4 3 9" xfId="8959" xr:uid="{68FD8DB2-EDEB-4E7D-AA09-4EB13218E998}"/>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AEDB0353-F106-4808-9CAA-AFE33EC12228}"/>
    <cellStyle name="Normal 4 2 4 4 2 2 3" xfId="11519" xr:uid="{7A5A95CC-D75A-486E-9978-0DBBEF786057}"/>
    <cellStyle name="Normal 4 2 4 4 2 3" xfId="5153" xr:uid="{00000000-0005-0000-0000-0000A9130000}"/>
    <cellStyle name="Normal 4 2 4 4 2 3 2" xfId="13592" xr:uid="{8CC0C455-1CF8-43E5-B413-2E23C0CAE01E}"/>
    <cellStyle name="Normal 4 2 4 4 2 4" xfId="9374" xr:uid="{8FDE67C5-272A-4907-A23C-7987DF87B522}"/>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AD6EB1BE-CF41-4A26-8F77-818A3E01A289}"/>
    <cellStyle name="Normal 4 2 4 4 3 2 3" xfId="11932" xr:uid="{7476E775-D2FB-4224-81F5-A0825A1651DB}"/>
    <cellStyle name="Normal 4 2 4 4 3 3" xfId="5566" xr:uid="{00000000-0005-0000-0000-0000AD130000}"/>
    <cellStyle name="Normal 4 2 4 4 3 3 2" xfId="14005" xr:uid="{3C5A4560-3B37-4D9F-9FCF-88C818625341}"/>
    <cellStyle name="Normal 4 2 4 4 3 4" xfId="9787" xr:uid="{475EEBBD-C0C4-41ED-913F-C604514FACE1}"/>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B51B28B8-1E29-41F7-B077-0A4F4086E52D}"/>
    <cellStyle name="Normal 4 2 4 4 4 2 3" xfId="12345" xr:uid="{FB1EFFA6-ED30-4F78-B178-79C928C08DCE}"/>
    <cellStyle name="Normal 4 2 4 4 4 3" xfId="5979" xr:uid="{00000000-0005-0000-0000-0000B1130000}"/>
    <cellStyle name="Normal 4 2 4 4 4 3 2" xfId="14418" xr:uid="{B825CF0B-6666-45EB-B4CB-F9FA86F15D86}"/>
    <cellStyle name="Normal 4 2 4 4 4 4" xfId="10200" xr:uid="{F680601D-08A5-430E-956E-3E886D39F47A}"/>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CE63A50E-9289-448F-AEA9-AEB07FF6E6F9}"/>
    <cellStyle name="Normal 4 2 4 4 5 2 3" xfId="12758" xr:uid="{E0783F78-D5EE-4563-8EBB-EAD8CB3BD1E6}"/>
    <cellStyle name="Normal 4 2 4 4 5 3" xfId="6392" xr:uid="{00000000-0005-0000-0000-0000B5130000}"/>
    <cellStyle name="Normal 4 2 4 4 5 3 2" xfId="14831" xr:uid="{6F863587-3192-42CB-A0C0-1C3A4AEFAACF}"/>
    <cellStyle name="Normal 4 2 4 4 5 4" xfId="10613" xr:uid="{A82D3D53-CD71-4785-8A8B-A0F52F45AA83}"/>
    <cellStyle name="Normal 4 2 4 4 6" xfId="2521" xr:uid="{00000000-0005-0000-0000-0000B6130000}"/>
    <cellStyle name="Normal 4 2 4 4 6 2" xfId="6805" xr:uid="{00000000-0005-0000-0000-0000B7130000}"/>
    <cellStyle name="Normal 4 2 4 4 6 2 2" xfId="15244" xr:uid="{F2D0C239-0550-4E6C-BA5B-24889F8FAF73}"/>
    <cellStyle name="Normal 4 2 4 4 6 3" xfId="11026" xr:uid="{62224716-04C3-4706-92AA-7E19E26B170E}"/>
    <cellStyle name="Normal 4 2 4 4 7" xfId="4740" xr:uid="{00000000-0005-0000-0000-0000B8130000}"/>
    <cellStyle name="Normal 4 2 4 4 7 2" xfId="13179" xr:uid="{94ACF279-EDAB-46CA-8F30-A4D54A896E7E}"/>
    <cellStyle name="Normal 4 2 4 4 8" xfId="8961" xr:uid="{5FB123DB-F2AF-4A71-ACD1-3123E35CF694}"/>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64CAA197-F182-4D30-876B-BFCBFF58DE74}"/>
    <cellStyle name="Normal 4 2 4 5 2 3" xfId="11512" xr:uid="{50B920A6-B82A-4FD0-AD5B-F3CE2161A4C6}"/>
    <cellStyle name="Normal 4 2 4 5 3" xfId="5146" xr:uid="{00000000-0005-0000-0000-0000BC130000}"/>
    <cellStyle name="Normal 4 2 4 5 3 2" xfId="13585" xr:uid="{D93562F5-A8DB-43EB-99BC-4AF739FD9EF5}"/>
    <cellStyle name="Normal 4 2 4 5 4" xfId="9367" xr:uid="{0846843A-A04A-4165-AFAC-B59E14FD07B4}"/>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067C4CAE-1F1E-4925-A291-3954AC864DA6}"/>
    <cellStyle name="Normal 4 2 4 6 2 3" xfId="11925" xr:uid="{9DDFD507-7AE8-4D5B-AE41-3337A9239519}"/>
    <cellStyle name="Normal 4 2 4 6 3" xfId="5559" xr:uid="{00000000-0005-0000-0000-0000C0130000}"/>
    <cellStyle name="Normal 4 2 4 6 3 2" xfId="13998" xr:uid="{1004E6DC-67DB-4008-9B26-20672CE4631D}"/>
    <cellStyle name="Normal 4 2 4 6 4" xfId="9780" xr:uid="{CFD1909B-BB0A-4DAE-9EC6-746AC2D29555}"/>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E929B159-986D-4549-AFC0-9626C1F8DC2E}"/>
    <cellStyle name="Normal 4 2 4 7 2 3" xfId="12338" xr:uid="{7C3F2615-560C-42D0-8CE2-4D35CAEC13B6}"/>
    <cellStyle name="Normal 4 2 4 7 3" xfId="5972" xr:uid="{00000000-0005-0000-0000-0000C4130000}"/>
    <cellStyle name="Normal 4 2 4 7 3 2" xfId="14411" xr:uid="{93F5930A-29DA-4746-8ED5-ED9BD7231936}"/>
    <cellStyle name="Normal 4 2 4 7 4" xfId="10193" xr:uid="{A154AED8-77E5-419F-8489-BE5BBD5EB6E2}"/>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EE62E454-0A1C-444E-BE33-B8308EADA597}"/>
    <cellStyle name="Normal 4 2 4 8 2 3" xfId="12751" xr:uid="{5A90C691-4BFE-46EF-817D-A5C4DDC8A7C8}"/>
    <cellStyle name="Normal 4 2 4 8 3" xfId="6385" xr:uid="{00000000-0005-0000-0000-0000C8130000}"/>
    <cellStyle name="Normal 4 2 4 8 3 2" xfId="14824" xr:uid="{61C8E8CE-37DC-4ADE-B014-55EC4D188034}"/>
    <cellStyle name="Normal 4 2 4 8 4" xfId="10606" xr:uid="{593C93B0-15FA-4624-B162-10841377E3FE}"/>
    <cellStyle name="Normal 4 2 4 9" xfId="2514" xr:uid="{00000000-0005-0000-0000-0000C9130000}"/>
    <cellStyle name="Normal 4 2 4 9 2" xfId="6798" xr:uid="{00000000-0005-0000-0000-0000CA130000}"/>
    <cellStyle name="Normal 4 2 4 9 2 2" xfId="15237" xr:uid="{03C095F3-5917-4F9C-B050-BF2D9C649F44}"/>
    <cellStyle name="Normal 4 2 4 9 3" xfId="11019" xr:uid="{6CC23173-A01D-466B-BA25-AC48CAC40921}"/>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82653E5B-119A-4D71-9B58-6F9154F30BF4}"/>
    <cellStyle name="Normal 4 2 5 2 2 2 3" xfId="11521" xr:uid="{334BDBC7-8B94-463E-8FC4-61F6BB9D3DD8}"/>
    <cellStyle name="Normal 4 2 5 2 2 3" xfId="5155" xr:uid="{00000000-0005-0000-0000-0000D0130000}"/>
    <cellStyle name="Normal 4 2 5 2 2 3 2" xfId="13594" xr:uid="{CED63FD8-D6BF-46D0-8D85-DC1E7B7952AD}"/>
    <cellStyle name="Normal 4 2 5 2 2 4" xfId="9376" xr:uid="{EEB22588-CD66-484F-97E4-7D46E1F8D07A}"/>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4CFD5EE1-15E2-49F1-9CEB-0C2ECAAAA8BF}"/>
    <cellStyle name="Normal 4 2 5 2 3 2 3" xfId="11934" xr:uid="{7ADD79C6-A63C-43DC-99B4-307A5CA8F2C6}"/>
    <cellStyle name="Normal 4 2 5 2 3 3" xfId="5568" xr:uid="{00000000-0005-0000-0000-0000D4130000}"/>
    <cellStyle name="Normal 4 2 5 2 3 3 2" xfId="14007" xr:uid="{850BC81B-BC0C-42EA-888C-2E261E597E9F}"/>
    <cellStyle name="Normal 4 2 5 2 3 4" xfId="9789" xr:uid="{54E7A2E7-5FA0-4095-8DD2-1640BEAB79D4}"/>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5FB43B6E-0210-4E85-AE91-D0528C2303FE}"/>
    <cellStyle name="Normal 4 2 5 2 4 2 3" xfId="12347" xr:uid="{46DF3FE2-CC9C-47E6-B5BE-8C6B82BFF1A6}"/>
    <cellStyle name="Normal 4 2 5 2 4 3" xfId="5981" xr:uid="{00000000-0005-0000-0000-0000D8130000}"/>
    <cellStyle name="Normal 4 2 5 2 4 3 2" xfId="14420" xr:uid="{73E4863B-AD2A-4D51-A137-DF4F0F26A640}"/>
    <cellStyle name="Normal 4 2 5 2 4 4" xfId="10202" xr:uid="{BC5E9724-17D2-42B5-A5AA-62215128DED2}"/>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4965BDE7-97DF-4FC6-B8DA-8E86DE06CD86}"/>
    <cellStyle name="Normal 4 2 5 2 5 2 3" xfId="12760" xr:uid="{411858C5-0EE3-472F-B6C1-940A15B4837A}"/>
    <cellStyle name="Normal 4 2 5 2 5 3" xfId="6394" xr:uid="{00000000-0005-0000-0000-0000DC130000}"/>
    <cellStyle name="Normal 4 2 5 2 5 3 2" xfId="14833" xr:uid="{6BB91BB0-CCD5-4D13-8A11-BED293C837D2}"/>
    <cellStyle name="Normal 4 2 5 2 5 4" xfId="10615" xr:uid="{5BAE2044-F4C2-42F7-9394-50AD826F1CD6}"/>
    <cellStyle name="Normal 4 2 5 2 6" xfId="2523" xr:uid="{00000000-0005-0000-0000-0000DD130000}"/>
    <cellStyle name="Normal 4 2 5 2 6 2" xfId="6807" xr:uid="{00000000-0005-0000-0000-0000DE130000}"/>
    <cellStyle name="Normal 4 2 5 2 6 2 2" xfId="15246" xr:uid="{9646853F-E2EE-43B1-9AA9-E8D21DA19323}"/>
    <cellStyle name="Normal 4 2 5 2 6 3" xfId="11028" xr:uid="{5E934F2B-8A25-4BF4-843B-4CF4D5ADFC4C}"/>
    <cellStyle name="Normal 4 2 5 2 7" xfId="4742" xr:uid="{00000000-0005-0000-0000-0000DF130000}"/>
    <cellStyle name="Normal 4 2 5 2 7 2" xfId="13181" xr:uid="{C083BD2C-FE75-4D30-A662-42C098551C16}"/>
    <cellStyle name="Normal 4 2 5 2 8" xfId="8963" xr:uid="{97082B19-2AEB-416E-9469-E0693B640052}"/>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55A0C23D-DAAA-4C67-8478-4012A2E51459}"/>
    <cellStyle name="Normal 4 2 5 3 2 3" xfId="11520" xr:uid="{7AA08C65-5803-40FF-9FCA-1D829DA6DC4D}"/>
    <cellStyle name="Normal 4 2 5 3 3" xfId="5154" xr:uid="{00000000-0005-0000-0000-0000E3130000}"/>
    <cellStyle name="Normal 4 2 5 3 3 2" xfId="13593" xr:uid="{99FA8D83-792F-461C-B870-A15CDB3FEC94}"/>
    <cellStyle name="Normal 4 2 5 3 4" xfId="9375" xr:uid="{B5C8C4D9-E222-447A-8888-08EBE492A415}"/>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CF7BE3F4-783F-48DF-928C-0DD7E268B858}"/>
    <cellStyle name="Normal 4 2 5 4 2 3" xfId="11933" xr:uid="{F9A87715-1C78-41EF-ACCE-17F8E3030766}"/>
    <cellStyle name="Normal 4 2 5 4 3" xfId="5567" xr:uid="{00000000-0005-0000-0000-0000E7130000}"/>
    <cellStyle name="Normal 4 2 5 4 3 2" xfId="14006" xr:uid="{99AB2E47-9EE5-49CB-ABBD-8073DAF2B006}"/>
    <cellStyle name="Normal 4 2 5 4 4" xfId="9788" xr:uid="{4BFB6490-95D0-46C6-B189-15400942035D}"/>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55F04537-2DF3-44E3-9677-60BF376F2CF5}"/>
    <cellStyle name="Normal 4 2 5 5 2 3" xfId="12346" xr:uid="{0C340236-CEA4-42A8-9CF5-895F2CE0A04A}"/>
    <cellStyle name="Normal 4 2 5 5 3" xfId="5980" xr:uid="{00000000-0005-0000-0000-0000EB130000}"/>
    <cellStyle name="Normal 4 2 5 5 3 2" xfId="14419" xr:uid="{CD571E70-F7BD-431C-B2AE-22F7EA012008}"/>
    <cellStyle name="Normal 4 2 5 5 4" xfId="10201" xr:uid="{A04E99DE-172A-4EE7-9BE6-E175876E8FB7}"/>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30C0A039-D415-4B68-BEDE-82B225681DF3}"/>
    <cellStyle name="Normal 4 2 5 6 2 3" xfId="12759" xr:uid="{747D2A0C-0249-4796-BC79-88726DCFB628}"/>
    <cellStyle name="Normal 4 2 5 6 3" xfId="6393" xr:uid="{00000000-0005-0000-0000-0000EF130000}"/>
    <cellStyle name="Normal 4 2 5 6 3 2" xfId="14832" xr:uid="{FC9AE8A0-C75D-439F-8557-034A19C12BA8}"/>
    <cellStyle name="Normal 4 2 5 6 4" xfId="10614" xr:uid="{45B7C672-7874-40F4-84B0-4EDFC77B822E}"/>
    <cellStyle name="Normal 4 2 5 7" xfId="2522" xr:uid="{00000000-0005-0000-0000-0000F0130000}"/>
    <cellStyle name="Normal 4 2 5 7 2" xfId="6806" xr:uid="{00000000-0005-0000-0000-0000F1130000}"/>
    <cellStyle name="Normal 4 2 5 7 2 2" xfId="15245" xr:uid="{818D9B52-2129-4B73-85B5-A16D94EE57F3}"/>
    <cellStyle name="Normal 4 2 5 7 3" xfId="11027" xr:uid="{DBBD8972-B283-45A5-A447-70521378207A}"/>
    <cellStyle name="Normal 4 2 5 8" xfId="4741" xr:uid="{00000000-0005-0000-0000-0000F2130000}"/>
    <cellStyle name="Normal 4 2 5 8 2" xfId="13180" xr:uid="{DC353811-6CF6-48AE-A4FC-264CD880A24F}"/>
    <cellStyle name="Normal 4 2 5 9" xfId="8962" xr:uid="{26048C91-A81B-45A4-8B33-E52739C1AEC6}"/>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C34B2D42-295A-46CA-8E64-7B5E11D72CC2}"/>
    <cellStyle name="Normal 4 2 6 2 2 3" xfId="11522" xr:uid="{235C80A6-3356-4F78-82F2-8AD21F88CF8C}"/>
    <cellStyle name="Normal 4 2 6 2 3" xfId="5156" xr:uid="{00000000-0005-0000-0000-0000F7130000}"/>
    <cellStyle name="Normal 4 2 6 2 3 2" xfId="13595" xr:uid="{E66F0371-9533-4329-9F1B-8430AB6934F5}"/>
    <cellStyle name="Normal 4 2 6 2 4" xfId="9377" xr:uid="{7D4EE45A-8E09-4DDA-AE55-64E306C757F5}"/>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6BE6D9E6-4A11-4949-9898-20D4DEDAB689}"/>
    <cellStyle name="Normal 4 2 6 3 2 3" xfId="11935" xr:uid="{1557687B-0042-4EE6-8272-73E6C3D20CCD}"/>
    <cellStyle name="Normal 4 2 6 3 3" xfId="5569" xr:uid="{00000000-0005-0000-0000-0000FB130000}"/>
    <cellStyle name="Normal 4 2 6 3 3 2" xfId="14008" xr:uid="{5019512C-F7DA-4813-B36B-107E928391D1}"/>
    <cellStyle name="Normal 4 2 6 3 4" xfId="9790" xr:uid="{9A5B2668-EE40-4F8F-A4CA-3A7641FC1A02}"/>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82C4A591-250D-41DC-91FD-2B36061708AE}"/>
    <cellStyle name="Normal 4 2 6 4 2 3" xfId="12348" xr:uid="{D1D71E66-9B01-44F9-9F94-65E01D886976}"/>
    <cellStyle name="Normal 4 2 6 4 3" xfId="5982" xr:uid="{00000000-0005-0000-0000-0000FF130000}"/>
    <cellStyle name="Normal 4 2 6 4 3 2" xfId="14421" xr:uid="{BB6C23A3-9357-477F-87EE-1755EDE2B53B}"/>
    <cellStyle name="Normal 4 2 6 4 4" xfId="10203" xr:uid="{D75EDE79-2CB6-4D13-8780-87335105D045}"/>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45FF8AAD-B457-4098-964D-FF66191E8F86}"/>
    <cellStyle name="Normal 4 2 6 5 2 3" xfId="12761" xr:uid="{57CF9CEA-AAD9-45B6-ADF6-0B70F48FA3D8}"/>
    <cellStyle name="Normal 4 2 6 5 3" xfId="6395" xr:uid="{00000000-0005-0000-0000-000003140000}"/>
    <cellStyle name="Normal 4 2 6 5 3 2" xfId="14834" xr:uid="{C1038EAB-3E7A-4BBF-852A-8D63467E9E74}"/>
    <cellStyle name="Normal 4 2 6 5 4" xfId="10616" xr:uid="{19F83B8F-3B4D-421F-947A-2F99C21C20CE}"/>
    <cellStyle name="Normal 4 2 6 6" xfId="2524" xr:uid="{00000000-0005-0000-0000-000004140000}"/>
    <cellStyle name="Normal 4 2 6 6 2" xfId="6808" xr:uid="{00000000-0005-0000-0000-000005140000}"/>
    <cellStyle name="Normal 4 2 6 6 2 2" xfId="15247" xr:uid="{4ACEEED2-1A6B-44D7-917C-1D31DD49E156}"/>
    <cellStyle name="Normal 4 2 6 6 3" xfId="11029" xr:uid="{0D034EC1-82F3-4D2D-803F-BABB9BA172AB}"/>
    <cellStyle name="Normal 4 2 6 7" xfId="4743" xr:uid="{00000000-0005-0000-0000-000006140000}"/>
    <cellStyle name="Normal 4 2 6 7 2" xfId="13182" xr:uid="{345DEA60-4F24-49F4-A14A-5BF7096D0CDE}"/>
    <cellStyle name="Normal 4 2 6 8" xfId="8964" xr:uid="{E30B4ECB-A77A-494A-9921-DF9EAF2FCD43}"/>
    <cellStyle name="Normal 4 3" xfId="366" xr:uid="{00000000-0005-0000-0000-000007140000}"/>
    <cellStyle name="Normal 4 3 10" xfId="8965" xr:uid="{2E3AFEFE-FE14-4C70-A0BC-8F22BD5A75E3}"/>
    <cellStyle name="Normal 4 3 2" xfId="367" xr:uid="{00000000-0005-0000-0000-000008140000}"/>
    <cellStyle name="Normal 4 3 2 2" xfId="368" xr:uid="{00000000-0005-0000-0000-000009140000}"/>
    <cellStyle name="Normal 4 3 2 2 2" xfId="369" xr:uid="{00000000-0005-0000-0000-00000A140000}"/>
    <cellStyle name="Normal 4 3 2 2 2 10" xfId="8966" xr:uid="{68A93DF8-6D7B-4967-8801-2C70F01D26CE}"/>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0DF8D4A7-A719-44F2-A401-81A385B171F3}"/>
    <cellStyle name="Normal 4 3 2 2 2 2 2 2 2 3" xfId="11526" xr:uid="{E419C61B-2922-40F0-A13E-5D3E550DFAD1}"/>
    <cellStyle name="Normal 4 3 2 2 2 2 2 2 3" xfId="5160" xr:uid="{00000000-0005-0000-0000-000010140000}"/>
    <cellStyle name="Normal 4 3 2 2 2 2 2 2 3 2" xfId="13599" xr:uid="{955CA9E0-0965-4C78-B5D4-85F0C1C6C907}"/>
    <cellStyle name="Normal 4 3 2 2 2 2 2 2 4" xfId="9381" xr:uid="{A17670D9-CB5B-4163-A213-59EC4AB297F9}"/>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6D02F2BE-3697-49F6-9AEA-CD46AE6036D2}"/>
    <cellStyle name="Normal 4 3 2 2 2 2 2 3 2 3" xfId="11939" xr:uid="{AF81D00C-7D96-4A0D-92BE-06B84FD72C58}"/>
    <cellStyle name="Normal 4 3 2 2 2 2 2 3 3" xfId="5573" xr:uid="{00000000-0005-0000-0000-000014140000}"/>
    <cellStyle name="Normal 4 3 2 2 2 2 2 3 3 2" xfId="14012" xr:uid="{8E4656C8-7608-4537-95C2-50B5FF76A5AD}"/>
    <cellStyle name="Normal 4 3 2 2 2 2 2 3 4" xfId="9794" xr:uid="{D4A0B0D8-2834-4793-9309-475796E3D7D8}"/>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78E85A44-FC82-4CD4-BB82-A5DECA4691D1}"/>
    <cellStyle name="Normal 4 3 2 2 2 2 2 4 2 3" xfId="12352" xr:uid="{A8B1D4F9-25D8-4C04-8D48-3915E968E83F}"/>
    <cellStyle name="Normal 4 3 2 2 2 2 2 4 3" xfId="5986" xr:uid="{00000000-0005-0000-0000-000018140000}"/>
    <cellStyle name="Normal 4 3 2 2 2 2 2 4 3 2" xfId="14425" xr:uid="{F94F3022-43AA-488A-A2D2-21D1B67A64D4}"/>
    <cellStyle name="Normal 4 3 2 2 2 2 2 4 4" xfId="10207" xr:uid="{A52FE9A4-CCD5-4AE9-A272-68E938029D1F}"/>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8A08F765-062D-43B7-AEF2-367B95938797}"/>
    <cellStyle name="Normal 4 3 2 2 2 2 2 5 2 3" xfId="12765" xr:uid="{59E1A59A-9638-4B65-AF84-03ECE547EA70}"/>
    <cellStyle name="Normal 4 3 2 2 2 2 2 5 3" xfId="6399" xr:uid="{00000000-0005-0000-0000-00001C140000}"/>
    <cellStyle name="Normal 4 3 2 2 2 2 2 5 3 2" xfId="14838" xr:uid="{F3F0E201-6116-414D-AEEB-17BFB83D88D2}"/>
    <cellStyle name="Normal 4 3 2 2 2 2 2 5 4" xfId="10620" xr:uid="{8CAF7A52-4ABD-4F4E-AF9A-EAFD95036387}"/>
    <cellStyle name="Normal 4 3 2 2 2 2 2 6" xfId="2528" xr:uid="{00000000-0005-0000-0000-00001D140000}"/>
    <cellStyle name="Normal 4 3 2 2 2 2 2 6 2" xfId="6812" xr:uid="{00000000-0005-0000-0000-00001E140000}"/>
    <cellStyle name="Normal 4 3 2 2 2 2 2 6 2 2" xfId="15251" xr:uid="{9F0A2039-BE88-4B97-BD2B-5971AADB367D}"/>
    <cellStyle name="Normal 4 3 2 2 2 2 2 6 3" xfId="11033" xr:uid="{BD51D40A-DCB1-409F-AAEB-BFA8B8629803}"/>
    <cellStyle name="Normal 4 3 2 2 2 2 2 7" xfId="4747" xr:uid="{00000000-0005-0000-0000-00001F140000}"/>
    <cellStyle name="Normal 4 3 2 2 2 2 2 7 2" xfId="13186" xr:uid="{41BD2F49-9863-4BC4-9E23-A86342018138}"/>
    <cellStyle name="Normal 4 3 2 2 2 2 2 8" xfId="8968" xr:uid="{1C857CB0-DA2E-4E53-9646-423F1E8D8F6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40016DC6-B366-4143-A836-CA2FF70C378A}"/>
    <cellStyle name="Normal 4 3 2 2 2 2 3 2 3" xfId="11525" xr:uid="{D9AB8920-302D-4EAA-965C-4A28AD3DDFBE}"/>
    <cellStyle name="Normal 4 3 2 2 2 2 3 3" xfId="5159" xr:uid="{00000000-0005-0000-0000-000023140000}"/>
    <cellStyle name="Normal 4 3 2 2 2 2 3 3 2" xfId="13598" xr:uid="{4DD87AD6-DA48-4C67-83EF-E9E87B734FA2}"/>
    <cellStyle name="Normal 4 3 2 2 2 2 3 4" xfId="9380" xr:uid="{E4501898-F217-43C1-A5C0-348A2551F246}"/>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5D126565-D012-47F7-AA9D-2450009EEB5A}"/>
    <cellStyle name="Normal 4 3 2 2 2 2 4 2 3" xfId="11938" xr:uid="{46987529-A694-4F4A-91A2-A729899E67EE}"/>
    <cellStyle name="Normal 4 3 2 2 2 2 4 3" xfId="5572" xr:uid="{00000000-0005-0000-0000-000027140000}"/>
    <cellStyle name="Normal 4 3 2 2 2 2 4 3 2" xfId="14011" xr:uid="{C7E4C71A-6AA7-46B8-9544-6EF36E160018}"/>
    <cellStyle name="Normal 4 3 2 2 2 2 4 4" xfId="9793" xr:uid="{A327E412-DC5F-4D99-B9AF-A434D16BF81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31B7189F-6861-4FA1-B9A0-8D84A5A2F6F2}"/>
    <cellStyle name="Normal 4 3 2 2 2 2 5 2 3" xfId="12351" xr:uid="{DB602F50-AC5D-48F2-A0D8-97E1D3F1A1A5}"/>
    <cellStyle name="Normal 4 3 2 2 2 2 5 3" xfId="5985" xr:uid="{00000000-0005-0000-0000-00002B140000}"/>
    <cellStyle name="Normal 4 3 2 2 2 2 5 3 2" xfId="14424" xr:uid="{BC02A860-5112-4A9B-AF99-05016C67281A}"/>
    <cellStyle name="Normal 4 3 2 2 2 2 5 4" xfId="10206" xr:uid="{1EA92FF8-724D-472D-84D7-9A4278DA6715}"/>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FB490F78-4E6F-4EC4-9E45-BE78334380EF}"/>
    <cellStyle name="Normal 4 3 2 2 2 2 6 2 3" xfId="12764" xr:uid="{C99B0507-60B6-420C-ADFF-503F9802C62E}"/>
    <cellStyle name="Normal 4 3 2 2 2 2 6 3" xfId="6398" xr:uid="{00000000-0005-0000-0000-00002F140000}"/>
    <cellStyle name="Normal 4 3 2 2 2 2 6 3 2" xfId="14837" xr:uid="{CAD0CEA9-9398-4A11-8496-A39D7376497E}"/>
    <cellStyle name="Normal 4 3 2 2 2 2 6 4" xfId="10619" xr:uid="{EF4D3EDC-15F0-418F-9F74-7A87F03C63F4}"/>
    <cellStyle name="Normal 4 3 2 2 2 2 7" xfId="2527" xr:uid="{00000000-0005-0000-0000-000030140000}"/>
    <cellStyle name="Normal 4 3 2 2 2 2 7 2" xfId="6811" xr:uid="{00000000-0005-0000-0000-000031140000}"/>
    <cellStyle name="Normal 4 3 2 2 2 2 7 2 2" xfId="15250" xr:uid="{E2ADB5B4-00A5-4B81-84E6-D872D9B7CCEC}"/>
    <cellStyle name="Normal 4 3 2 2 2 2 7 3" xfId="11032" xr:uid="{8250ED90-4594-4675-8021-B8C45BCBDFEE}"/>
    <cellStyle name="Normal 4 3 2 2 2 2 8" xfId="4746" xr:uid="{00000000-0005-0000-0000-000032140000}"/>
    <cellStyle name="Normal 4 3 2 2 2 2 8 2" xfId="13185" xr:uid="{3F80EE57-A97B-4910-A481-36D6328701FE}"/>
    <cellStyle name="Normal 4 3 2 2 2 2 9" xfId="8967" xr:uid="{3466E58A-C463-4043-AA50-9CD63E528F4E}"/>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7BC27731-111F-4F2A-AE32-A47A4A65D124}"/>
    <cellStyle name="Normal 4 3 2 2 2 3 2 2 3" xfId="11527" xr:uid="{DDD487E0-6741-417A-ADFD-C2688ED03408}"/>
    <cellStyle name="Normal 4 3 2 2 2 3 2 3" xfId="5161" xr:uid="{00000000-0005-0000-0000-000037140000}"/>
    <cellStyle name="Normal 4 3 2 2 2 3 2 3 2" xfId="13600" xr:uid="{16EB7F0B-C7DD-4B38-B351-2120928B3461}"/>
    <cellStyle name="Normal 4 3 2 2 2 3 2 4" xfId="9382" xr:uid="{CECB9A64-EBA1-41C4-930E-755A66C5F36D}"/>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B10A038F-CC50-40FA-B036-A6A4DF3B194C}"/>
    <cellStyle name="Normal 4 3 2 2 2 3 3 2 3" xfId="11940" xr:uid="{1D212647-7803-418C-A27F-6099BEBA1724}"/>
    <cellStyle name="Normal 4 3 2 2 2 3 3 3" xfId="5574" xr:uid="{00000000-0005-0000-0000-00003B140000}"/>
    <cellStyle name="Normal 4 3 2 2 2 3 3 3 2" xfId="14013" xr:uid="{7A688A2F-7F58-48E5-BAA4-2C3A3992DA33}"/>
    <cellStyle name="Normal 4 3 2 2 2 3 3 4" xfId="9795" xr:uid="{7EE1D608-9882-4E87-B669-F57514CA25C6}"/>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59011A42-CFEF-48B3-9113-164D5D943700}"/>
    <cellStyle name="Normal 4 3 2 2 2 3 4 2 3" xfId="12353" xr:uid="{3748DA42-C50F-4202-B3BB-5BAA4F052FE2}"/>
    <cellStyle name="Normal 4 3 2 2 2 3 4 3" xfId="5987" xr:uid="{00000000-0005-0000-0000-00003F140000}"/>
    <cellStyle name="Normal 4 3 2 2 2 3 4 3 2" xfId="14426" xr:uid="{28530575-BEE5-45B7-96C7-3DCAA9647E8C}"/>
    <cellStyle name="Normal 4 3 2 2 2 3 4 4" xfId="10208" xr:uid="{B0615C3C-1FD3-4D0E-8279-AF1463793BAD}"/>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7308A1C6-D566-411D-AA21-D34668D68E04}"/>
    <cellStyle name="Normal 4 3 2 2 2 3 5 2 3" xfId="12766" xr:uid="{A7CEBD42-D35F-45AF-AE71-07AE15A750E6}"/>
    <cellStyle name="Normal 4 3 2 2 2 3 5 3" xfId="6400" xr:uid="{00000000-0005-0000-0000-000043140000}"/>
    <cellStyle name="Normal 4 3 2 2 2 3 5 3 2" xfId="14839" xr:uid="{1E85EECC-4A34-442F-8642-C6ABD541A2C4}"/>
    <cellStyle name="Normal 4 3 2 2 2 3 5 4" xfId="10621" xr:uid="{A99AEFFA-3AFB-4EA7-90B9-6C7F882BAC55}"/>
    <cellStyle name="Normal 4 3 2 2 2 3 6" xfId="2529" xr:uid="{00000000-0005-0000-0000-000044140000}"/>
    <cellStyle name="Normal 4 3 2 2 2 3 6 2" xfId="6813" xr:uid="{00000000-0005-0000-0000-000045140000}"/>
    <cellStyle name="Normal 4 3 2 2 2 3 6 2 2" xfId="15252" xr:uid="{F46B2F50-54C1-4502-AAB9-F88EBF533877}"/>
    <cellStyle name="Normal 4 3 2 2 2 3 6 3" xfId="11034" xr:uid="{AA805130-9A02-46E3-9ABB-1C0A223F9EFF}"/>
    <cellStyle name="Normal 4 3 2 2 2 3 7" xfId="4748" xr:uid="{00000000-0005-0000-0000-000046140000}"/>
    <cellStyle name="Normal 4 3 2 2 2 3 7 2" xfId="13187" xr:uid="{25BD63E0-3C8A-4D73-B999-9AE9E7BFA51F}"/>
    <cellStyle name="Normal 4 3 2 2 2 3 8" xfId="8969" xr:uid="{B8C07091-A606-4296-A7C6-EBE5573E19B1}"/>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1BC57FF7-7027-4FFA-B952-44F624FC2DDC}"/>
    <cellStyle name="Normal 4 3 2 2 2 4 2 3" xfId="11524" xr:uid="{ECD7FC71-6DB4-4D5C-B312-3467997AD984}"/>
    <cellStyle name="Normal 4 3 2 2 2 4 3" xfId="5158" xr:uid="{00000000-0005-0000-0000-00004A140000}"/>
    <cellStyle name="Normal 4 3 2 2 2 4 3 2" xfId="13597" xr:uid="{A784C8B6-D0E8-4C10-B5F3-4B2402A7EE7C}"/>
    <cellStyle name="Normal 4 3 2 2 2 4 4" xfId="9379" xr:uid="{9B4C0C58-7C5A-4D7C-AB2E-9D3923C09BD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1CA4BAE1-1262-445C-B3BA-AF524C48FF4C}"/>
    <cellStyle name="Normal 4 3 2 2 2 5 2 3" xfId="11937" xr:uid="{04A7C22F-FEF3-4AAF-93F6-78B3D85846F5}"/>
    <cellStyle name="Normal 4 3 2 2 2 5 3" xfId="5571" xr:uid="{00000000-0005-0000-0000-00004E140000}"/>
    <cellStyle name="Normal 4 3 2 2 2 5 3 2" xfId="14010" xr:uid="{861527B4-3374-41AE-ABAA-E9AE9620D879}"/>
    <cellStyle name="Normal 4 3 2 2 2 5 4" xfId="9792" xr:uid="{AD4B4BA1-6E02-43F2-A4D7-2C0EC192726F}"/>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DCE1682F-0A96-41C0-BA15-8B84A3BB3431}"/>
    <cellStyle name="Normal 4 3 2 2 2 6 2 3" xfId="12350" xr:uid="{738A740A-C4FE-438E-8B6C-88DF746B620E}"/>
    <cellStyle name="Normal 4 3 2 2 2 6 3" xfId="5984" xr:uid="{00000000-0005-0000-0000-000052140000}"/>
    <cellStyle name="Normal 4 3 2 2 2 6 3 2" xfId="14423" xr:uid="{772385EB-1471-42AF-9D55-A0F721A04ED3}"/>
    <cellStyle name="Normal 4 3 2 2 2 6 4" xfId="10205" xr:uid="{8A253F08-8B1C-4831-9210-B94FA22203B1}"/>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FD282699-8C59-4C02-86C2-E85FF88C51EB}"/>
    <cellStyle name="Normal 4 3 2 2 2 7 2 3" xfId="12763" xr:uid="{40999D32-82C4-4702-B0EB-DE3330A33226}"/>
    <cellStyle name="Normal 4 3 2 2 2 7 3" xfId="6397" xr:uid="{00000000-0005-0000-0000-000056140000}"/>
    <cellStyle name="Normal 4 3 2 2 2 7 3 2" xfId="14836" xr:uid="{007A220C-DA63-4A16-A609-4E16CEB904DD}"/>
    <cellStyle name="Normal 4 3 2 2 2 7 4" xfId="10618" xr:uid="{7D404CE0-8EA3-4BC4-8133-950952E6CE58}"/>
    <cellStyle name="Normal 4 3 2 2 2 8" xfId="2526" xr:uid="{00000000-0005-0000-0000-000057140000}"/>
    <cellStyle name="Normal 4 3 2 2 2 8 2" xfId="6810" xr:uid="{00000000-0005-0000-0000-000058140000}"/>
    <cellStyle name="Normal 4 3 2 2 2 8 2 2" xfId="15249" xr:uid="{5959E93A-447F-43FB-A4AB-A51DD120FA27}"/>
    <cellStyle name="Normal 4 3 2 2 2 8 3" xfId="11031" xr:uid="{70E794F9-4ACD-42B6-A1C9-A89930959037}"/>
    <cellStyle name="Normal 4 3 2 2 2 9" xfId="4745" xr:uid="{00000000-0005-0000-0000-000059140000}"/>
    <cellStyle name="Normal 4 3 2 2 2 9 2" xfId="13184" xr:uid="{8849CB67-34DB-4C5A-A6DE-4252E43FF4F7}"/>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B1A281B4-C5CF-491E-9CF8-DD77A48022D1}"/>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0C84771E-198B-4806-8407-9DDE6D9BA955}"/>
    <cellStyle name="Normal 4 3 3 2 2 2 2 3" xfId="11530" xr:uid="{1846214E-6606-49DC-996A-E52A5E553A18}"/>
    <cellStyle name="Normal 4 3 3 2 2 2 3" xfId="5164" xr:uid="{00000000-0005-0000-0000-000063140000}"/>
    <cellStyle name="Normal 4 3 3 2 2 2 3 2" xfId="13603" xr:uid="{58C4A35F-597B-43B3-B37A-8968F71765BC}"/>
    <cellStyle name="Normal 4 3 3 2 2 2 4" xfId="9385" xr:uid="{8B78CC14-861F-4E64-85FC-FC64F6DA7BDB}"/>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0E3FE30A-23B3-4B03-A4BC-280DFC92F391}"/>
    <cellStyle name="Normal 4 3 3 2 2 3 2 3" xfId="11943" xr:uid="{AB4E3878-A4B4-40BD-8FF8-627EEA60B893}"/>
    <cellStyle name="Normal 4 3 3 2 2 3 3" xfId="5577" xr:uid="{00000000-0005-0000-0000-000067140000}"/>
    <cellStyle name="Normal 4 3 3 2 2 3 3 2" xfId="14016" xr:uid="{9F1F1386-F888-4D63-95F0-E4DED669727B}"/>
    <cellStyle name="Normal 4 3 3 2 2 3 4" xfId="9798" xr:uid="{77664B9E-1A79-4DBB-A52F-924D2CD441E3}"/>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4EAEA305-3AD6-4624-A87A-2E5DD9553B8C}"/>
    <cellStyle name="Normal 4 3 3 2 2 4 2 3" xfId="12356" xr:uid="{327EF887-9C74-426F-954F-CB5FD880AA53}"/>
    <cellStyle name="Normal 4 3 3 2 2 4 3" xfId="5990" xr:uid="{00000000-0005-0000-0000-00006B140000}"/>
    <cellStyle name="Normal 4 3 3 2 2 4 3 2" xfId="14429" xr:uid="{CF5405B3-5AF8-400B-A943-83DED89B3288}"/>
    <cellStyle name="Normal 4 3 3 2 2 4 4" xfId="10211" xr:uid="{98D1888C-7493-415A-8743-DBEC6AE70ECF}"/>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1F6408A9-E658-4B7C-83D4-9FA31ADE4FDC}"/>
    <cellStyle name="Normal 4 3 3 2 2 5 2 3" xfId="12769" xr:uid="{2C72B780-E07C-4381-B259-F616862272CE}"/>
    <cellStyle name="Normal 4 3 3 2 2 5 3" xfId="6403" xr:uid="{00000000-0005-0000-0000-00006F140000}"/>
    <cellStyle name="Normal 4 3 3 2 2 5 3 2" xfId="14842" xr:uid="{3DD4C59E-79A3-466F-963C-20E4B7A1FEB6}"/>
    <cellStyle name="Normal 4 3 3 2 2 5 4" xfId="10624" xr:uid="{A99C1F69-BD28-4174-8102-D2DA7EFB433E}"/>
    <cellStyle name="Normal 4 3 3 2 2 6" xfId="2532" xr:uid="{00000000-0005-0000-0000-000070140000}"/>
    <cellStyle name="Normal 4 3 3 2 2 6 2" xfId="6816" xr:uid="{00000000-0005-0000-0000-000071140000}"/>
    <cellStyle name="Normal 4 3 3 2 2 6 2 2" xfId="15255" xr:uid="{282BC919-586F-47C4-B79F-9E911B8357C0}"/>
    <cellStyle name="Normal 4 3 3 2 2 6 3" xfId="11037" xr:uid="{693E99DB-9D29-4C7C-87DF-F604A40C14BF}"/>
    <cellStyle name="Normal 4 3 3 2 2 7" xfId="4751" xr:uid="{00000000-0005-0000-0000-000072140000}"/>
    <cellStyle name="Normal 4 3 3 2 2 7 2" xfId="13190" xr:uid="{8B7722C1-E8EF-49E3-80F3-76F35F4435A9}"/>
    <cellStyle name="Normal 4 3 3 2 2 8" xfId="8972" xr:uid="{C89341CB-D4A7-49FD-B22C-6C5ACC8C935D}"/>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98762AFE-74AF-4FC0-87F0-C6A3692F1D7B}"/>
    <cellStyle name="Normal 4 3 3 2 3 2 3" xfId="11529" xr:uid="{7F792C7A-DD7C-4F1C-9877-8B6A804BED32}"/>
    <cellStyle name="Normal 4 3 3 2 3 3" xfId="5163" xr:uid="{00000000-0005-0000-0000-000076140000}"/>
    <cellStyle name="Normal 4 3 3 2 3 3 2" xfId="13602" xr:uid="{933D3F13-612E-435D-A38C-270BF4D882CC}"/>
    <cellStyle name="Normal 4 3 3 2 3 4" xfId="9384" xr:uid="{4A48E8C8-7D43-4904-9ECA-1053B52229B7}"/>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0926EF5B-56F6-4532-9DFF-A4AA126CC211}"/>
    <cellStyle name="Normal 4 3 3 2 4 2 3" xfId="11942" xr:uid="{F3DDD94C-8BD7-4E5D-9D05-EFD85F932EF2}"/>
    <cellStyle name="Normal 4 3 3 2 4 3" xfId="5576" xr:uid="{00000000-0005-0000-0000-00007A140000}"/>
    <cellStyle name="Normal 4 3 3 2 4 3 2" xfId="14015" xr:uid="{6F112AA2-13A7-47FC-BAF3-A0454739D8FE}"/>
    <cellStyle name="Normal 4 3 3 2 4 4" xfId="9797" xr:uid="{61EF291C-F8C0-4842-B4DD-B2650EB86BD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42626684-00C1-485A-9579-7FA423D78D02}"/>
    <cellStyle name="Normal 4 3 3 2 5 2 3" xfId="12355" xr:uid="{7AA99BA3-A489-4FC2-9245-0400806ED55D}"/>
    <cellStyle name="Normal 4 3 3 2 5 3" xfId="5989" xr:uid="{00000000-0005-0000-0000-00007E140000}"/>
    <cellStyle name="Normal 4 3 3 2 5 3 2" xfId="14428" xr:uid="{0D2E4553-F10C-4EF7-BE34-D8833B8C5724}"/>
    <cellStyle name="Normal 4 3 3 2 5 4" xfId="10210" xr:uid="{71F9E704-E2B1-4DC2-8EA2-9757A9C2AC02}"/>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AF81857B-5372-4FD6-9D11-2291AEFCB21B}"/>
    <cellStyle name="Normal 4 3 3 2 6 2 3" xfId="12768" xr:uid="{A560EA42-F859-462F-8FE9-51FBBEAFB8DF}"/>
    <cellStyle name="Normal 4 3 3 2 6 3" xfId="6402" xr:uid="{00000000-0005-0000-0000-000082140000}"/>
    <cellStyle name="Normal 4 3 3 2 6 3 2" xfId="14841" xr:uid="{8B609D3B-054D-4452-8F89-0C7E0DF18F93}"/>
    <cellStyle name="Normal 4 3 3 2 6 4" xfId="10623" xr:uid="{C9362B75-0E07-4EB5-9A20-3E16F8680096}"/>
    <cellStyle name="Normal 4 3 3 2 7" xfId="2531" xr:uid="{00000000-0005-0000-0000-000083140000}"/>
    <cellStyle name="Normal 4 3 3 2 7 2" xfId="6815" xr:uid="{00000000-0005-0000-0000-000084140000}"/>
    <cellStyle name="Normal 4 3 3 2 7 2 2" xfId="15254" xr:uid="{995A7056-FE38-4B27-9EA4-B335BF0E375C}"/>
    <cellStyle name="Normal 4 3 3 2 7 3" xfId="11036" xr:uid="{91E93A40-4EF6-49C1-8692-26ECED5C704D}"/>
    <cellStyle name="Normal 4 3 3 2 8" xfId="4750" xr:uid="{00000000-0005-0000-0000-000085140000}"/>
    <cellStyle name="Normal 4 3 3 2 8 2" xfId="13189" xr:uid="{88F03800-2819-4617-9A37-ADEF4279D8F6}"/>
    <cellStyle name="Normal 4 3 3 2 9" xfId="8971" xr:uid="{AC138B15-CCBB-4F02-905E-399C26B0B88A}"/>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A93D4C51-D0FD-478E-9D8D-A74748001DED}"/>
    <cellStyle name="Normal 4 3 3 3 2 2 3" xfId="11531" xr:uid="{3F2A7078-3CF4-4EBA-B89C-23BA1733D201}"/>
    <cellStyle name="Normal 4 3 3 3 2 3" xfId="5165" xr:uid="{00000000-0005-0000-0000-00008A140000}"/>
    <cellStyle name="Normal 4 3 3 3 2 3 2" xfId="13604" xr:uid="{C958969D-7AEA-4C9C-8984-7D819A6BF63D}"/>
    <cellStyle name="Normal 4 3 3 3 2 4" xfId="9386" xr:uid="{0D269060-493B-4A13-A06D-57349BD193CF}"/>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2A736DBA-E216-4F43-A5B1-89D012D9BDB5}"/>
    <cellStyle name="Normal 4 3 3 3 3 2 3" xfId="11944" xr:uid="{EB68562F-6352-426F-B752-0E4827C27908}"/>
    <cellStyle name="Normal 4 3 3 3 3 3" xfId="5578" xr:uid="{00000000-0005-0000-0000-00008E140000}"/>
    <cellStyle name="Normal 4 3 3 3 3 3 2" xfId="14017" xr:uid="{7EFD1AC4-9FD6-4D75-82D3-5F55B79F219E}"/>
    <cellStyle name="Normal 4 3 3 3 3 4" xfId="9799" xr:uid="{6C333188-7EDD-4FAC-95D6-69E5FD29ED63}"/>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E111CB7C-D956-4BF4-90E3-AFC507FA7A81}"/>
    <cellStyle name="Normal 4 3 3 3 4 2 3" xfId="12357" xr:uid="{E246C8A7-EED2-456F-B6F9-5C4F4884505F}"/>
    <cellStyle name="Normal 4 3 3 3 4 3" xfId="5991" xr:uid="{00000000-0005-0000-0000-000092140000}"/>
    <cellStyle name="Normal 4 3 3 3 4 3 2" xfId="14430" xr:uid="{1B0EC998-539F-4D97-8C20-3C6ACB0E1E5F}"/>
    <cellStyle name="Normal 4 3 3 3 4 4" xfId="10212" xr:uid="{B377771E-B421-4383-AE15-B1F8EB77D9F2}"/>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1B83EF7A-0B9E-46E7-A703-FB06DED1C782}"/>
    <cellStyle name="Normal 4 3 3 3 5 2 3" xfId="12770" xr:uid="{6683CAD5-8B06-49A9-ACB6-C00BA43ED0AC}"/>
    <cellStyle name="Normal 4 3 3 3 5 3" xfId="6404" xr:uid="{00000000-0005-0000-0000-000096140000}"/>
    <cellStyle name="Normal 4 3 3 3 5 3 2" xfId="14843" xr:uid="{9D9CBD3E-BE60-4CBC-BD9E-C0CE6FD6EBE0}"/>
    <cellStyle name="Normal 4 3 3 3 5 4" xfId="10625" xr:uid="{BB701590-448A-4097-B3E0-3612D70E02E8}"/>
    <cellStyle name="Normal 4 3 3 3 6" xfId="2533" xr:uid="{00000000-0005-0000-0000-000097140000}"/>
    <cellStyle name="Normal 4 3 3 3 6 2" xfId="6817" xr:uid="{00000000-0005-0000-0000-000098140000}"/>
    <cellStyle name="Normal 4 3 3 3 6 2 2" xfId="15256" xr:uid="{41337F36-4923-4667-868D-88736B3C9939}"/>
    <cellStyle name="Normal 4 3 3 3 6 3" xfId="11038" xr:uid="{3D6066E9-CCFE-4635-889A-82F14356644E}"/>
    <cellStyle name="Normal 4 3 3 3 7" xfId="4752" xr:uid="{00000000-0005-0000-0000-000099140000}"/>
    <cellStyle name="Normal 4 3 3 3 7 2" xfId="13191" xr:uid="{DDD4A5CC-62D0-4928-B859-969CFA6B9029}"/>
    <cellStyle name="Normal 4 3 3 3 8" xfId="8973" xr:uid="{80B4A3FF-3114-4B42-892E-F974E85AEF21}"/>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7235DD8C-47CF-493F-A300-D3C4E2E16AD2}"/>
    <cellStyle name="Normal 4 3 3 4 2 3" xfId="11528" xr:uid="{EE7F8CDD-6756-4F27-8B0B-98ACF05998D2}"/>
    <cellStyle name="Normal 4 3 3 4 3" xfId="5162" xr:uid="{00000000-0005-0000-0000-00009D140000}"/>
    <cellStyle name="Normal 4 3 3 4 3 2" xfId="13601" xr:uid="{FA5F38AD-8E4B-4B60-87EE-62F9DBE51E56}"/>
    <cellStyle name="Normal 4 3 3 4 4" xfId="9383" xr:uid="{30E5498E-8A30-48B3-AADB-3F7AEB431760}"/>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C7EB3325-18F4-44D7-8ABF-A8CE1D933DC8}"/>
    <cellStyle name="Normal 4 3 3 5 2 3" xfId="11941" xr:uid="{B97ABB6E-ABAD-48F6-8D75-6A8C5BD6A191}"/>
    <cellStyle name="Normal 4 3 3 5 3" xfId="5575" xr:uid="{00000000-0005-0000-0000-0000A1140000}"/>
    <cellStyle name="Normal 4 3 3 5 3 2" xfId="14014" xr:uid="{8C844435-64F0-4452-A1CA-D75C8A757CBF}"/>
    <cellStyle name="Normal 4 3 3 5 4" xfId="9796" xr:uid="{0A1E3BF2-87C9-4BB0-95F6-AF5D1BAD9423}"/>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A95CCE95-5A21-41CE-88B3-5B074F25EB04}"/>
    <cellStyle name="Normal 4 3 3 6 2 3" xfId="12354" xr:uid="{A6EE2691-863A-474A-97E6-19F2802958B7}"/>
    <cellStyle name="Normal 4 3 3 6 3" xfId="5988" xr:uid="{00000000-0005-0000-0000-0000A5140000}"/>
    <cellStyle name="Normal 4 3 3 6 3 2" xfId="14427" xr:uid="{9B59FEFF-B6C6-4D55-9F18-DCF2AAD5AB22}"/>
    <cellStyle name="Normal 4 3 3 6 4" xfId="10209" xr:uid="{D3C7E615-9A7F-4942-B4CD-43676C584FCD}"/>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BA3EBB1B-3551-4F59-B316-2DC7D5FD2A53}"/>
    <cellStyle name="Normal 4 3 3 7 2 3" xfId="12767" xr:uid="{447581FB-F156-4F12-B2A3-D4A85253C996}"/>
    <cellStyle name="Normal 4 3 3 7 3" xfId="6401" xr:uid="{00000000-0005-0000-0000-0000A9140000}"/>
    <cellStyle name="Normal 4 3 3 7 3 2" xfId="14840" xr:uid="{807F8834-3088-49F5-8C9C-99576304CD7A}"/>
    <cellStyle name="Normal 4 3 3 7 4" xfId="10622" xr:uid="{4D654679-A008-4644-B3B0-BD81B86460A7}"/>
    <cellStyle name="Normal 4 3 3 8" xfId="2530" xr:uid="{00000000-0005-0000-0000-0000AA140000}"/>
    <cellStyle name="Normal 4 3 3 8 2" xfId="6814" xr:uid="{00000000-0005-0000-0000-0000AB140000}"/>
    <cellStyle name="Normal 4 3 3 8 2 2" xfId="15253" xr:uid="{5E73F440-BC14-45FE-968F-1B4C5C5EA3FC}"/>
    <cellStyle name="Normal 4 3 3 8 3" xfId="11035" xr:uid="{9E0303A1-A2A9-41A1-BFAD-89157B7D1FFF}"/>
    <cellStyle name="Normal 4 3 3 9" xfId="4749" xr:uid="{00000000-0005-0000-0000-0000AC140000}"/>
    <cellStyle name="Normal 4 3 3 9 2" xfId="13188" xr:uid="{8C6423B7-E30E-43DF-8624-651763C11D95}"/>
    <cellStyle name="Normal 4 3 4" xfId="842" xr:uid="{00000000-0005-0000-0000-0000AD140000}"/>
    <cellStyle name="Normal 4 3 4 2" xfId="3079" xr:uid="{00000000-0005-0000-0000-0000AE140000}"/>
    <cellStyle name="Normal 4 3 4 2 2" xfId="7302" xr:uid="{00000000-0005-0000-0000-0000AF140000}"/>
    <cellStyle name="Normal 4 3 4 2 2 2" xfId="15741" xr:uid="{BE940140-D5DD-4FD0-96C1-76703730F60A}"/>
    <cellStyle name="Normal 4 3 4 2 3" xfId="11523" xr:uid="{F827A684-90AD-4157-9096-93E4A45A653C}"/>
    <cellStyle name="Normal 4 3 4 3" xfId="5157" xr:uid="{00000000-0005-0000-0000-0000B0140000}"/>
    <cellStyle name="Normal 4 3 4 3 2" xfId="13596" xr:uid="{4AB9A36D-13F8-491A-8FDF-9F1C7CD0EAD6}"/>
    <cellStyle name="Normal 4 3 4 4" xfId="9378" xr:uid="{230F22E4-52EC-4894-8F3D-78D72AF4110D}"/>
    <cellStyle name="Normal 4 3 5" xfId="1262" xr:uid="{00000000-0005-0000-0000-0000B1140000}"/>
    <cellStyle name="Normal 4 3 5 2" xfId="3492" xr:uid="{00000000-0005-0000-0000-0000B2140000}"/>
    <cellStyle name="Normal 4 3 5 2 2" xfId="7715" xr:uid="{00000000-0005-0000-0000-0000B3140000}"/>
    <cellStyle name="Normal 4 3 5 2 2 2" xfId="16154" xr:uid="{FAD9ABA7-E5E1-4F49-B0A7-857991ACBCDB}"/>
    <cellStyle name="Normal 4 3 5 2 3" xfId="11936" xr:uid="{B66CA685-9D30-48CA-A2FE-FD4DB370DDF2}"/>
    <cellStyle name="Normal 4 3 5 3" xfId="5570" xr:uid="{00000000-0005-0000-0000-0000B4140000}"/>
    <cellStyle name="Normal 4 3 5 3 2" xfId="14009" xr:uid="{AA330EE1-F8A5-43B8-92BA-8378145A5C6B}"/>
    <cellStyle name="Normal 4 3 5 4" xfId="9791" xr:uid="{725185A3-8EBF-4404-9DCE-9ADEFF6E05E1}"/>
    <cellStyle name="Normal 4 3 6" xfId="1675" xr:uid="{00000000-0005-0000-0000-0000B5140000}"/>
    <cellStyle name="Normal 4 3 6 2" xfId="3905" xr:uid="{00000000-0005-0000-0000-0000B6140000}"/>
    <cellStyle name="Normal 4 3 6 2 2" xfId="8128" xr:uid="{00000000-0005-0000-0000-0000B7140000}"/>
    <cellStyle name="Normal 4 3 6 2 2 2" xfId="16567" xr:uid="{E3F857F1-4E1A-4FEB-A762-197EAC8F3BF3}"/>
    <cellStyle name="Normal 4 3 6 2 3" xfId="12349" xr:uid="{9F2079EE-2465-4F40-9936-339CF9CD4DB8}"/>
    <cellStyle name="Normal 4 3 6 3" xfId="5983" xr:uid="{00000000-0005-0000-0000-0000B8140000}"/>
    <cellStyle name="Normal 4 3 6 3 2" xfId="14422" xr:uid="{3583B38D-0F4B-473B-A0E0-50FE20878BC5}"/>
    <cellStyle name="Normal 4 3 6 4" xfId="10204" xr:uid="{A66A8796-632F-48AF-B0A4-BA9F9C27080A}"/>
    <cellStyle name="Normal 4 3 7" xfId="2089" xr:uid="{00000000-0005-0000-0000-0000B9140000}"/>
    <cellStyle name="Normal 4 3 7 2" xfId="4318" xr:uid="{00000000-0005-0000-0000-0000BA140000}"/>
    <cellStyle name="Normal 4 3 7 2 2" xfId="8541" xr:uid="{00000000-0005-0000-0000-0000BB140000}"/>
    <cellStyle name="Normal 4 3 7 2 2 2" xfId="16980" xr:uid="{7FACB30F-7A76-4BE2-A099-40F4430858C6}"/>
    <cellStyle name="Normal 4 3 7 2 3" xfId="12762" xr:uid="{D889F899-CFCE-4950-A313-089B4F4AAD21}"/>
    <cellStyle name="Normal 4 3 7 3" xfId="6396" xr:uid="{00000000-0005-0000-0000-0000BC140000}"/>
    <cellStyle name="Normal 4 3 7 3 2" xfId="14835" xr:uid="{85C42DB0-A4A9-4D4B-ABB2-BCEE255DE7C6}"/>
    <cellStyle name="Normal 4 3 7 4" xfId="10617" xr:uid="{01A08DDC-91CE-45ED-B2C5-7FDBA11FB52C}"/>
    <cellStyle name="Normal 4 3 8" xfId="2525" xr:uid="{00000000-0005-0000-0000-0000BD140000}"/>
    <cellStyle name="Normal 4 3 8 2" xfId="6809" xr:uid="{00000000-0005-0000-0000-0000BE140000}"/>
    <cellStyle name="Normal 4 3 8 2 2" xfId="15248" xr:uid="{6FD60F19-5627-490C-B442-F20AFB04665A}"/>
    <cellStyle name="Normal 4 3 8 3" xfId="11030" xr:uid="{3180BFBA-6EC4-4DBB-BB93-AC4F103E34FE}"/>
    <cellStyle name="Normal 4 3 9" xfId="4744" xr:uid="{00000000-0005-0000-0000-0000BF140000}"/>
    <cellStyle name="Normal 4 3 9 2" xfId="13183" xr:uid="{89557B85-33B1-4C95-BDAC-7A47A5E76CB9}"/>
    <cellStyle name="Normal 4 4" xfId="378" xr:uid="{00000000-0005-0000-0000-0000C0140000}"/>
    <cellStyle name="Normal 4 4 10" xfId="2534" xr:uid="{00000000-0005-0000-0000-0000C1140000}"/>
    <cellStyle name="Normal 4 4 10 2" xfId="6818" xr:uid="{00000000-0005-0000-0000-0000C2140000}"/>
    <cellStyle name="Normal 4 4 10 2 2" xfId="15257" xr:uid="{D9899A08-2DE4-4664-94A0-33FB1848E3A9}"/>
    <cellStyle name="Normal 4 4 10 3" xfId="11039" xr:uid="{3A0BCD7D-B4F7-49F4-AD5E-3F33A2DFC583}"/>
    <cellStyle name="Normal 4 4 11" xfId="4753" xr:uid="{00000000-0005-0000-0000-0000C3140000}"/>
    <cellStyle name="Normal 4 4 11 2" xfId="13192" xr:uid="{CFCB8263-1667-4FED-98B9-59CA0D9957BF}"/>
    <cellStyle name="Normal 4 4 12" xfId="8974" xr:uid="{8B043E16-A568-4BC6-BC52-9773B81F7746}"/>
    <cellStyle name="Normal 4 4 2" xfId="379" xr:uid="{00000000-0005-0000-0000-0000C4140000}"/>
    <cellStyle name="Normal 4 4 2 10" xfId="4754" xr:uid="{00000000-0005-0000-0000-0000C5140000}"/>
    <cellStyle name="Normal 4 4 2 10 2" xfId="13193" xr:uid="{11EF05D3-C687-4A8D-ACE6-F0561AAA4EC8}"/>
    <cellStyle name="Normal 4 4 2 11" xfId="8975" xr:uid="{9162CFFA-355C-4CD9-8A87-051BE2305E46}"/>
    <cellStyle name="Normal 4 4 2 2" xfId="380" xr:uid="{00000000-0005-0000-0000-0000C6140000}"/>
    <cellStyle name="Normal 4 4 2 2 10" xfId="8976" xr:uid="{D3228DEB-DD4D-4E4F-BF4C-A3943B3AA3AD}"/>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F73892A2-9757-4BDA-8DB6-F865D3555F31}"/>
    <cellStyle name="Normal 4 4 2 2 2 2 2 2 3" xfId="11536" xr:uid="{C68794E6-CEFA-4EDB-882E-45D1398D365B}"/>
    <cellStyle name="Normal 4 4 2 2 2 2 2 3" xfId="5170" xr:uid="{00000000-0005-0000-0000-0000CC140000}"/>
    <cellStyle name="Normal 4 4 2 2 2 2 2 3 2" xfId="13609" xr:uid="{4A5D1F7E-6170-41FE-A048-69AB16BA75A2}"/>
    <cellStyle name="Normal 4 4 2 2 2 2 2 4" xfId="9391" xr:uid="{EBA869F0-6F24-4EB1-812D-3CFDDC464FC6}"/>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D020713E-A514-4E8E-9047-6B386ACD2F98}"/>
    <cellStyle name="Normal 4 4 2 2 2 2 3 2 3" xfId="11949" xr:uid="{46AB7A55-B8DE-4A4D-8EDC-87094AF9468C}"/>
    <cellStyle name="Normal 4 4 2 2 2 2 3 3" xfId="5583" xr:uid="{00000000-0005-0000-0000-0000D0140000}"/>
    <cellStyle name="Normal 4 4 2 2 2 2 3 3 2" xfId="14022" xr:uid="{F286AC2A-2580-4FF9-8A31-007828477F30}"/>
    <cellStyle name="Normal 4 4 2 2 2 2 3 4" xfId="9804" xr:uid="{92869A03-8D26-42E8-B3EC-8141D7D13C35}"/>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A4774C82-AF91-4DE2-9631-5100854A2E87}"/>
    <cellStyle name="Normal 4 4 2 2 2 2 4 2 3" xfId="12362" xr:uid="{601747A2-991C-439F-B4F4-670ECE589DC7}"/>
    <cellStyle name="Normal 4 4 2 2 2 2 4 3" xfId="5996" xr:uid="{00000000-0005-0000-0000-0000D4140000}"/>
    <cellStyle name="Normal 4 4 2 2 2 2 4 3 2" xfId="14435" xr:uid="{C8D9A68D-7A13-4C47-90B7-B158C44985A5}"/>
    <cellStyle name="Normal 4 4 2 2 2 2 4 4" xfId="10217" xr:uid="{7CB4342F-9AF7-4ECE-B713-44DF7C0A8E87}"/>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34D70133-6991-4246-9711-C6748CA7DE6C}"/>
    <cellStyle name="Normal 4 4 2 2 2 2 5 2 3" xfId="12775" xr:uid="{0ABE8F48-97FC-4A8E-A14E-31DB4E2B0768}"/>
    <cellStyle name="Normal 4 4 2 2 2 2 5 3" xfId="6409" xr:uid="{00000000-0005-0000-0000-0000D8140000}"/>
    <cellStyle name="Normal 4 4 2 2 2 2 5 3 2" xfId="14848" xr:uid="{16DF73CA-E10C-4DF5-B308-5D6B8430A2CC}"/>
    <cellStyle name="Normal 4 4 2 2 2 2 5 4" xfId="10630" xr:uid="{E3CE1A27-D9ED-46C8-AE36-AB1B491DC6E2}"/>
    <cellStyle name="Normal 4 4 2 2 2 2 6" xfId="2538" xr:uid="{00000000-0005-0000-0000-0000D9140000}"/>
    <cellStyle name="Normal 4 4 2 2 2 2 6 2" xfId="6822" xr:uid="{00000000-0005-0000-0000-0000DA140000}"/>
    <cellStyle name="Normal 4 4 2 2 2 2 6 2 2" xfId="15261" xr:uid="{D736C006-F50D-4F3D-B336-30E5500555E5}"/>
    <cellStyle name="Normal 4 4 2 2 2 2 6 3" xfId="11043" xr:uid="{8F91306B-0053-449E-A8BC-5172E534046D}"/>
    <cellStyle name="Normal 4 4 2 2 2 2 7" xfId="4757" xr:uid="{00000000-0005-0000-0000-0000DB140000}"/>
    <cellStyle name="Normal 4 4 2 2 2 2 7 2" xfId="13196" xr:uid="{F07EF9B2-7AE4-41B5-A0C2-FA4B53CAA94A}"/>
    <cellStyle name="Normal 4 4 2 2 2 2 8" xfId="8978" xr:uid="{73107568-40F8-4544-8351-5AA68A975CB5}"/>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C78788E1-4914-41AF-881D-18F94D74A874}"/>
    <cellStyle name="Normal 4 4 2 2 2 3 2 3" xfId="11535" xr:uid="{A02C0725-B646-4B4D-A982-DDBC452FD867}"/>
    <cellStyle name="Normal 4 4 2 2 2 3 3" xfId="5169" xr:uid="{00000000-0005-0000-0000-0000DF140000}"/>
    <cellStyle name="Normal 4 4 2 2 2 3 3 2" xfId="13608" xr:uid="{7F6F0FB5-56C8-4674-A9B8-05727A339F5B}"/>
    <cellStyle name="Normal 4 4 2 2 2 3 4" xfId="9390" xr:uid="{54F6B6C4-E973-4112-A6CC-372E300A4887}"/>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6C38E825-A4C6-4BF1-8897-A6AF012F94A1}"/>
    <cellStyle name="Normal 4 4 2 2 2 4 2 3" xfId="11948" xr:uid="{A9B7CFAD-BAFA-43E6-AAA1-B36598AD3D9E}"/>
    <cellStyle name="Normal 4 4 2 2 2 4 3" xfId="5582" xr:uid="{00000000-0005-0000-0000-0000E3140000}"/>
    <cellStyle name="Normal 4 4 2 2 2 4 3 2" xfId="14021" xr:uid="{B02DD664-B6A6-499F-AB79-E7E1DD3080F4}"/>
    <cellStyle name="Normal 4 4 2 2 2 4 4" xfId="9803" xr:uid="{CD93A10E-0521-4A67-AB45-769A1F1FF4AD}"/>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4D01C152-AB1B-42C1-8C67-1EE61D1ABDE2}"/>
    <cellStyle name="Normal 4 4 2 2 2 5 2 3" xfId="12361" xr:uid="{949C7D8E-DE7A-41CE-80E3-148C5040B59C}"/>
    <cellStyle name="Normal 4 4 2 2 2 5 3" xfId="5995" xr:uid="{00000000-0005-0000-0000-0000E7140000}"/>
    <cellStyle name="Normal 4 4 2 2 2 5 3 2" xfId="14434" xr:uid="{859C50C4-A902-4EC6-9BD3-78F639FEBB50}"/>
    <cellStyle name="Normal 4 4 2 2 2 5 4" xfId="10216" xr:uid="{D3AF7679-DCD6-4AFE-9AA5-87A7B6AE1555}"/>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AFAF24EE-2702-42B0-B74C-6E19A9A4279B}"/>
    <cellStyle name="Normal 4 4 2 2 2 6 2 3" xfId="12774" xr:uid="{28F6FADD-7E62-4691-BEDE-5D4CB6634412}"/>
    <cellStyle name="Normal 4 4 2 2 2 6 3" xfId="6408" xr:uid="{00000000-0005-0000-0000-0000EB140000}"/>
    <cellStyle name="Normal 4 4 2 2 2 6 3 2" xfId="14847" xr:uid="{E4DD7193-77BC-4E40-AE05-D093B1C68C49}"/>
    <cellStyle name="Normal 4 4 2 2 2 6 4" xfId="10629" xr:uid="{50B89530-4275-4E0F-9512-2A7D21FDF431}"/>
    <cellStyle name="Normal 4 4 2 2 2 7" xfId="2537" xr:uid="{00000000-0005-0000-0000-0000EC140000}"/>
    <cellStyle name="Normal 4 4 2 2 2 7 2" xfId="6821" xr:uid="{00000000-0005-0000-0000-0000ED140000}"/>
    <cellStyle name="Normal 4 4 2 2 2 7 2 2" xfId="15260" xr:uid="{E25552FA-93A5-46A4-BD90-BB74661043CC}"/>
    <cellStyle name="Normal 4 4 2 2 2 7 3" xfId="11042" xr:uid="{F3B5BD68-9656-4CA6-8238-3BD13BFEA8DB}"/>
    <cellStyle name="Normal 4 4 2 2 2 8" xfId="4756" xr:uid="{00000000-0005-0000-0000-0000EE140000}"/>
    <cellStyle name="Normal 4 4 2 2 2 8 2" xfId="13195" xr:uid="{F77A9A08-9131-4E91-97A5-589737F08DA6}"/>
    <cellStyle name="Normal 4 4 2 2 2 9" xfId="8977" xr:uid="{6CFC46EB-CC7B-4D5B-8D9F-A00DDFA77CB6}"/>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53CCD25C-BB90-4A79-87B1-7E7987EF798D}"/>
    <cellStyle name="Normal 4 4 2 2 3 2 2 3" xfId="11537" xr:uid="{DCD081C3-D347-4AA8-B3E1-5C3FCB38718B}"/>
    <cellStyle name="Normal 4 4 2 2 3 2 3" xfId="5171" xr:uid="{00000000-0005-0000-0000-0000F3140000}"/>
    <cellStyle name="Normal 4 4 2 2 3 2 3 2" xfId="13610" xr:uid="{ABABA048-8A41-4292-89AE-E271953C757E}"/>
    <cellStyle name="Normal 4 4 2 2 3 2 4" xfId="9392" xr:uid="{BD553E36-AF11-486D-92DF-1A18E4C7DC6E}"/>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30513922-6348-4B13-B1F8-1366BC9F9DED}"/>
    <cellStyle name="Normal 4 4 2 2 3 3 2 3" xfId="11950" xr:uid="{6FCDD812-2662-47C4-AC5C-D5D4564FEE53}"/>
    <cellStyle name="Normal 4 4 2 2 3 3 3" xfId="5584" xr:uid="{00000000-0005-0000-0000-0000F7140000}"/>
    <cellStyle name="Normal 4 4 2 2 3 3 3 2" xfId="14023" xr:uid="{3FCD1F5A-7B2F-4838-8661-0996DA104885}"/>
    <cellStyle name="Normal 4 4 2 2 3 3 4" xfId="9805" xr:uid="{6DCB0498-D6BA-4D0C-81A9-71B5BEFEFA33}"/>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DF7F7F5D-956D-4727-9F3F-A1B2338DF1B7}"/>
    <cellStyle name="Normal 4 4 2 2 3 4 2 3" xfId="12363" xr:uid="{EED4878C-398B-4308-B30B-13C1EE520C40}"/>
    <cellStyle name="Normal 4 4 2 2 3 4 3" xfId="5997" xr:uid="{00000000-0005-0000-0000-0000FB140000}"/>
    <cellStyle name="Normal 4 4 2 2 3 4 3 2" xfId="14436" xr:uid="{BD92A48A-1792-49B6-84E1-A6FD21A55FEE}"/>
    <cellStyle name="Normal 4 4 2 2 3 4 4" xfId="10218" xr:uid="{66B4534A-472F-4F19-B1C8-9A37DE3E9A1B}"/>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FDC5A02C-F4C1-4725-9556-101FFCD66569}"/>
    <cellStyle name="Normal 4 4 2 2 3 5 2 3" xfId="12776" xr:uid="{7AFBAAA6-CE6E-4738-8F34-1B3B5CBF3C30}"/>
    <cellStyle name="Normal 4 4 2 2 3 5 3" xfId="6410" xr:uid="{00000000-0005-0000-0000-0000FF140000}"/>
    <cellStyle name="Normal 4 4 2 2 3 5 3 2" xfId="14849" xr:uid="{343B5433-B504-4BE2-B907-F34CCABF9E4A}"/>
    <cellStyle name="Normal 4 4 2 2 3 5 4" xfId="10631" xr:uid="{DA85D5F0-5107-451D-9DD3-E6498969F94E}"/>
    <cellStyle name="Normal 4 4 2 2 3 6" xfId="2539" xr:uid="{00000000-0005-0000-0000-000000150000}"/>
    <cellStyle name="Normal 4 4 2 2 3 6 2" xfId="6823" xr:uid="{00000000-0005-0000-0000-000001150000}"/>
    <cellStyle name="Normal 4 4 2 2 3 6 2 2" xfId="15262" xr:uid="{B6B1C213-B654-45D6-9DC4-B400D17C4B16}"/>
    <cellStyle name="Normal 4 4 2 2 3 6 3" xfId="11044" xr:uid="{0EA6E1E1-6D1E-4217-8FCA-2F51A104437A}"/>
    <cellStyle name="Normal 4 4 2 2 3 7" xfId="4758" xr:uid="{00000000-0005-0000-0000-000002150000}"/>
    <cellStyle name="Normal 4 4 2 2 3 7 2" xfId="13197" xr:uid="{3B4EBADB-024B-46FD-9A75-277F1BB62000}"/>
    <cellStyle name="Normal 4 4 2 2 3 8" xfId="8979" xr:uid="{9A5F2C5E-950A-40CF-94E8-23D890DB1ADB}"/>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B58989CF-FDA5-40EE-8ADD-C95926F3A5F0}"/>
    <cellStyle name="Normal 4 4 2 2 4 2 3" xfId="11534" xr:uid="{0189319E-A52D-4ED4-AB7F-E40978EED416}"/>
    <cellStyle name="Normal 4 4 2 2 4 3" xfId="5168" xr:uid="{00000000-0005-0000-0000-000006150000}"/>
    <cellStyle name="Normal 4 4 2 2 4 3 2" xfId="13607" xr:uid="{3BC87790-63D8-481A-8C0F-3A7E7476DD73}"/>
    <cellStyle name="Normal 4 4 2 2 4 4" xfId="9389" xr:uid="{6B3DD13F-721B-4A1F-B7CD-5DBC066A9DE0}"/>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3C28879C-C591-4E99-8061-EF8C5F4A5BC0}"/>
    <cellStyle name="Normal 4 4 2 2 5 2 3" xfId="11947" xr:uid="{ADECC688-F84E-4D15-B637-004E3942AB13}"/>
    <cellStyle name="Normal 4 4 2 2 5 3" xfId="5581" xr:uid="{00000000-0005-0000-0000-00000A150000}"/>
    <cellStyle name="Normal 4 4 2 2 5 3 2" xfId="14020" xr:uid="{DC741ECE-B5B3-4852-BA57-86200A80EF98}"/>
    <cellStyle name="Normal 4 4 2 2 5 4" xfId="9802" xr:uid="{FC449CFA-0511-4E86-B250-5C96C8525AB8}"/>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4603B1A2-2710-4CC9-9AFC-939F0D8EE429}"/>
    <cellStyle name="Normal 4 4 2 2 6 2 3" xfId="12360" xr:uid="{05C77C05-2A03-48F7-89B4-4D0DCE520607}"/>
    <cellStyle name="Normal 4 4 2 2 6 3" xfId="5994" xr:uid="{00000000-0005-0000-0000-00000E150000}"/>
    <cellStyle name="Normal 4 4 2 2 6 3 2" xfId="14433" xr:uid="{C324FFC8-46C8-43E9-BAE7-19C8102C7429}"/>
    <cellStyle name="Normal 4 4 2 2 6 4" xfId="10215" xr:uid="{A207D551-47D4-4AF7-9CD8-5CCA15C7F0C5}"/>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6CDEEFD3-4BD4-4808-9388-1AADB5E7C219}"/>
    <cellStyle name="Normal 4 4 2 2 7 2 3" xfId="12773" xr:uid="{EECAC2C3-3BE1-4BA3-B3D6-C1B4B5100693}"/>
    <cellStyle name="Normal 4 4 2 2 7 3" xfId="6407" xr:uid="{00000000-0005-0000-0000-000012150000}"/>
    <cellStyle name="Normal 4 4 2 2 7 3 2" xfId="14846" xr:uid="{E220EA45-EF7D-45A8-A4BA-C47291F682B2}"/>
    <cellStyle name="Normal 4 4 2 2 7 4" xfId="10628" xr:uid="{D100BA96-12F4-4996-8E40-10C91BFCDB28}"/>
    <cellStyle name="Normal 4 4 2 2 8" xfId="2536" xr:uid="{00000000-0005-0000-0000-000013150000}"/>
    <cellStyle name="Normal 4 4 2 2 8 2" xfId="6820" xr:uid="{00000000-0005-0000-0000-000014150000}"/>
    <cellStyle name="Normal 4 4 2 2 8 2 2" xfId="15259" xr:uid="{2320AC65-7466-4013-AC2E-9F02ABBB6CAC}"/>
    <cellStyle name="Normal 4 4 2 2 8 3" xfId="11041" xr:uid="{827262A3-84E4-41BF-8D67-05B7C637E47F}"/>
    <cellStyle name="Normal 4 4 2 2 9" xfId="4755" xr:uid="{00000000-0005-0000-0000-000015150000}"/>
    <cellStyle name="Normal 4 4 2 2 9 2" xfId="13194" xr:uid="{B4DCE884-BE02-4BAA-B401-0FD26EB75012}"/>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551C6F3F-047D-4727-83FA-0D9813C2530B}"/>
    <cellStyle name="Normal 4 4 2 3 2 2 2 3" xfId="11539" xr:uid="{441E3308-194C-4FC1-9458-DDC66FF74134}"/>
    <cellStyle name="Normal 4 4 2 3 2 2 3" xfId="5173" xr:uid="{00000000-0005-0000-0000-00001B150000}"/>
    <cellStyle name="Normal 4 4 2 3 2 2 3 2" xfId="13612" xr:uid="{7B1CD264-B621-4421-A0C3-07A32BD5F404}"/>
    <cellStyle name="Normal 4 4 2 3 2 2 4" xfId="9394" xr:uid="{641BBC20-A5B2-4338-A5B9-F9B765F2660B}"/>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F74CB293-1969-42F0-A2D9-6B2C91095E6D}"/>
    <cellStyle name="Normal 4 4 2 3 2 3 2 3" xfId="11952" xr:uid="{6C2C571E-AC2E-40F0-9268-103CBC690B20}"/>
    <cellStyle name="Normal 4 4 2 3 2 3 3" xfId="5586" xr:uid="{00000000-0005-0000-0000-00001F150000}"/>
    <cellStyle name="Normal 4 4 2 3 2 3 3 2" xfId="14025" xr:uid="{90F38C76-18E0-4950-B80A-935CEC5EAF93}"/>
    <cellStyle name="Normal 4 4 2 3 2 3 4" xfId="9807" xr:uid="{C46B4D84-AF93-4D1F-8B45-577AD8276807}"/>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ED0779E7-6CC5-4922-B79C-CF7EDBB6E139}"/>
    <cellStyle name="Normal 4 4 2 3 2 4 2 3" xfId="12365" xr:uid="{E75D1287-B5D6-4A6A-A791-0BE4129002EB}"/>
    <cellStyle name="Normal 4 4 2 3 2 4 3" xfId="5999" xr:uid="{00000000-0005-0000-0000-000023150000}"/>
    <cellStyle name="Normal 4 4 2 3 2 4 3 2" xfId="14438" xr:uid="{96782754-96B6-4F2B-B416-D6AA85A3CE74}"/>
    <cellStyle name="Normal 4 4 2 3 2 4 4" xfId="10220" xr:uid="{C3AEC79D-75F0-49C0-8960-4E79C9B7892E}"/>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DBD0A6D3-8B5F-444C-957E-41BCCB49F1AF}"/>
    <cellStyle name="Normal 4 4 2 3 2 5 2 3" xfId="12778" xr:uid="{0A6FCB91-8CA2-4601-9C29-9A89ECCECB33}"/>
    <cellStyle name="Normal 4 4 2 3 2 5 3" xfId="6412" xr:uid="{00000000-0005-0000-0000-000027150000}"/>
    <cellStyle name="Normal 4 4 2 3 2 5 3 2" xfId="14851" xr:uid="{E71B9CF1-6CAA-4A1A-B024-E9F4E553CE0F}"/>
    <cellStyle name="Normal 4 4 2 3 2 5 4" xfId="10633" xr:uid="{3AA53438-9AA8-4A76-98FA-981B014C9686}"/>
    <cellStyle name="Normal 4 4 2 3 2 6" xfId="2541" xr:uid="{00000000-0005-0000-0000-000028150000}"/>
    <cellStyle name="Normal 4 4 2 3 2 6 2" xfId="6825" xr:uid="{00000000-0005-0000-0000-000029150000}"/>
    <cellStyle name="Normal 4 4 2 3 2 6 2 2" xfId="15264" xr:uid="{3FD4CAFF-E403-45A3-8A58-28F22F13B92D}"/>
    <cellStyle name="Normal 4 4 2 3 2 6 3" xfId="11046" xr:uid="{4DBAACDA-73D4-463C-86D0-87CA64D742BE}"/>
    <cellStyle name="Normal 4 4 2 3 2 7" xfId="4760" xr:uid="{00000000-0005-0000-0000-00002A150000}"/>
    <cellStyle name="Normal 4 4 2 3 2 7 2" xfId="13199" xr:uid="{185F62C6-DAFA-4776-A8AA-E8ABD88303F8}"/>
    <cellStyle name="Normal 4 4 2 3 2 8" xfId="8981" xr:uid="{EA80B8D9-00AE-468E-B498-2B6E2F99A20E}"/>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DA385885-EB6C-46CB-9950-6685923FFDE8}"/>
    <cellStyle name="Normal 4 4 2 3 3 2 3" xfId="11538" xr:uid="{37865537-F9E2-4316-968C-014E5CC89FB4}"/>
    <cellStyle name="Normal 4 4 2 3 3 3" xfId="5172" xr:uid="{00000000-0005-0000-0000-00002E150000}"/>
    <cellStyle name="Normal 4 4 2 3 3 3 2" xfId="13611" xr:uid="{2BFAD8B1-467B-4482-8888-B5592D9F0714}"/>
    <cellStyle name="Normal 4 4 2 3 3 4" xfId="9393" xr:uid="{55CB1EF4-81DE-4A24-AC3A-F8C80FA2F2FC}"/>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6B6BA32C-F0DE-4ECA-B3F6-4E0A2815B6A9}"/>
    <cellStyle name="Normal 4 4 2 3 4 2 3" xfId="11951" xr:uid="{9FB7FF65-45D9-431A-8812-FCCE8F202396}"/>
    <cellStyle name="Normal 4 4 2 3 4 3" xfId="5585" xr:uid="{00000000-0005-0000-0000-000032150000}"/>
    <cellStyle name="Normal 4 4 2 3 4 3 2" xfId="14024" xr:uid="{B5B50E89-7896-4CD2-85BE-97E6932E4E1F}"/>
    <cellStyle name="Normal 4 4 2 3 4 4" xfId="9806" xr:uid="{475C94F0-91A0-4B86-9BBC-BACAE831F545}"/>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E971DA22-F2D0-4374-AD19-355160987040}"/>
    <cellStyle name="Normal 4 4 2 3 5 2 3" xfId="12364" xr:uid="{B687210A-7D10-47E8-8001-49E1CA9AC9E0}"/>
    <cellStyle name="Normal 4 4 2 3 5 3" xfId="5998" xr:uid="{00000000-0005-0000-0000-000036150000}"/>
    <cellStyle name="Normal 4 4 2 3 5 3 2" xfId="14437" xr:uid="{D347BE8B-0D95-46C0-9BF0-15C86D6AD07F}"/>
    <cellStyle name="Normal 4 4 2 3 5 4" xfId="10219" xr:uid="{D1904CD6-2215-4E7A-8F20-191EF9498048}"/>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76F71986-ADFC-4675-8321-914BEE5A5667}"/>
    <cellStyle name="Normal 4 4 2 3 6 2 3" xfId="12777" xr:uid="{551AE6EE-9A6B-41CF-AD50-31B4286340BC}"/>
    <cellStyle name="Normal 4 4 2 3 6 3" xfId="6411" xr:uid="{00000000-0005-0000-0000-00003A150000}"/>
    <cellStyle name="Normal 4 4 2 3 6 3 2" xfId="14850" xr:uid="{EE2DA8CF-AE65-4472-859C-5F19BC369D31}"/>
    <cellStyle name="Normal 4 4 2 3 6 4" xfId="10632" xr:uid="{AC5B2725-004D-4019-B780-9B0041EDBB28}"/>
    <cellStyle name="Normal 4 4 2 3 7" xfId="2540" xr:uid="{00000000-0005-0000-0000-00003B150000}"/>
    <cellStyle name="Normal 4 4 2 3 7 2" xfId="6824" xr:uid="{00000000-0005-0000-0000-00003C150000}"/>
    <cellStyle name="Normal 4 4 2 3 7 2 2" xfId="15263" xr:uid="{60FF0A33-1980-4E3E-AD40-BE9C3991DEC0}"/>
    <cellStyle name="Normal 4 4 2 3 7 3" xfId="11045" xr:uid="{5FF4DFB0-C392-4FD2-9718-1DE33F86AFD1}"/>
    <cellStyle name="Normal 4 4 2 3 8" xfId="4759" xr:uid="{00000000-0005-0000-0000-00003D150000}"/>
    <cellStyle name="Normal 4 4 2 3 8 2" xfId="13198" xr:uid="{C8B5C104-387E-4AEB-9388-0C92B039403F}"/>
    <cellStyle name="Normal 4 4 2 3 9" xfId="8980" xr:uid="{BF2F61A0-64EF-485A-B6E4-293F20291A08}"/>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74995610-3B46-471D-9173-4FE7186FFECF}"/>
    <cellStyle name="Normal 4 4 2 4 2 2 3" xfId="11540" xr:uid="{2E906751-2240-4FB9-9C78-BE9555E44F45}"/>
    <cellStyle name="Normal 4 4 2 4 2 3" xfId="5174" xr:uid="{00000000-0005-0000-0000-000042150000}"/>
    <cellStyle name="Normal 4 4 2 4 2 3 2" xfId="13613" xr:uid="{336589D1-247D-4F3F-BF73-36517B6992EF}"/>
    <cellStyle name="Normal 4 4 2 4 2 4" xfId="9395" xr:uid="{4CA0A572-B04E-49A1-B691-E29198B7E9CF}"/>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1DEC49CD-72E7-4314-99B8-881E21297DDC}"/>
    <cellStyle name="Normal 4 4 2 4 3 2 3" xfId="11953" xr:uid="{FF3CF646-64BE-4BF4-A5A7-1DCA90711562}"/>
    <cellStyle name="Normal 4 4 2 4 3 3" xfId="5587" xr:uid="{00000000-0005-0000-0000-000046150000}"/>
    <cellStyle name="Normal 4 4 2 4 3 3 2" xfId="14026" xr:uid="{DF9419A6-80FD-4AA6-AF31-083B81A746B5}"/>
    <cellStyle name="Normal 4 4 2 4 3 4" xfId="9808" xr:uid="{B2B76F9E-1298-4C73-B0D2-0776C84FAB7F}"/>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9C140859-8F37-445E-B4F0-68F24F45D7E5}"/>
    <cellStyle name="Normal 4 4 2 4 4 2 3" xfId="12366" xr:uid="{F55FDE12-1C2D-45F9-B574-8B52E43E466B}"/>
    <cellStyle name="Normal 4 4 2 4 4 3" xfId="6000" xr:uid="{00000000-0005-0000-0000-00004A150000}"/>
    <cellStyle name="Normal 4 4 2 4 4 3 2" xfId="14439" xr:uid="{ACC87811-4B41-42FB-B38A-4990437F1CFC}"/>
    <cellStyle name="Normal 4 4 2 4 4 4" xfId="10221" xr:uid="{4C2BC2B8-62A1-45AE-833D-8AB56D6542B0}"/>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70208078-06FA-4466-BE66-574320383B8E}"/>
    <cellStyle name="Normal 4 4 2 4 5 2 3" xfId="12779" xr:uid="{CF25A8E9-51DC-42D8-A5ED-D0F850CDF27D}"/>
    <cellStyle name="Normal 4 4 2 4 5 3" xfId="6413" xr:uid="{00000000-0005-0000-0000-00004E150000}"/>
    <cellStyle name="Normal 4 4 2 4 5 3 2" xfId="14852" xr:uid="{211001D7-E76F-452D-B0BA-2E0C50AD53BA}"/>
    <cellStyle name="Normal 4 4 2 4 5 4" xfId="10634" xr:uid="{F91F6427-2B5A-4CB2-A703-6DAF9B83C150}"/>
    <cellStyle name="Normal 4 4 2 4 6" xfId="2542" xr:uid="{00000000-0005-0000-0000-00004F150000}"/>
    <cellStyle name="Normal 4 4 2 4 6 2" xfId="6826" xr:uid="{00000000-0005-0000-0000-000050150000}"/>
    <cellStyle name="Normal 4 4 2 4 6 2 2" xfId="15265" xr:uid="{2484D5A4-3F3E-4C02-8BE1-306EA4344592}"/>
    <cellStyle name="Normal 4 4 2 4 6 3" xfId="11047" xr:uid="{1C7011CC-4EA4-4D82-B354-DB67E3097E9C}"/>
    <cellStyle name="Normal 4 4 2 4 7" xfId="4761" xr:uid="{00000000-0005-0000-0000-000051150000}"/>
    <cellStyle name="Normal 4 4 2 4 7 2" xfId="13200" xr:uid="{6799CE44-FFE6-47E4-BE7C-997596D488AF}"/>
    <cellStyle name="Normal 4 4 2 4 8" xfId="8982" xr:uid="{09EEDA59-23B3-429F-B99A-C05832732381}"/>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739D4B1B-DC12-4D4E-B22B-18E429DC27E7}"/>
    <cellStyle name="Normal 4 4 2 5 2 3" xfId="11533" xr:uid="{C24BCE7D-4DC9-45A7-B891-8C6AF44E4837}"/>
    <cellStyle name="Normal 4 4 2 5 3" xfId="5167" xr:uid="{00000000-0005-0000-0000-000055150000}"/>
    <cellStyle name="Normal 4 4 2 5 3 2" xfId="13606" xr:uid="{DD7113C0-AAAC-4F50-BD10-AA772D35E1C6}"/>
    <cellStyle name="Normal 4 4 2 5 4" xfId="9388" xr:uid="{9084B89A-7E39-4F37-8CA0-8246DAB51F98}"/>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ED9B79F0-CBB5-4C0B-9954-FD0B34859BFA}"/>
    <cellStyle name="Normal 4 4 2 6 2 3" xfId="11946" xr:uid="{4BF159B1-66FA-465E-B6CB-B2420E8731BE}"/>
    <cellStyle name="Normal 4 4 2 6 3" xfId="5580" xr:uid="{00000000-0005-0000-0000-000059150000}"/>
    <cellStyle name="Normal 4 4 2 6 3 2" xfId="14019" xr:uid="{C4A75FFD-9509-4779-AA32-E126C45BFCE5}"/>
    <cellStyle name="Normal 4 4 2 6 4" xfId="9801" xr:uid="{2C551F75-218A-44E3-A7D7-85ADF92D02E8}"/>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2AD59947-0ECA-4E81-B4F3-BE906CFF085E}"/>
    <cellStyle name="Normal 4 4 2 7 2 3" xfId="12359" xr:uid="{9D8A17E1-DD9F-43E0-8F80-3AFB65EA603B}"/>
    <cellStyle name="Normal 4 4 2 7 3" xfId="5993" xr:uid="{00000000-0005-0000-0000-00005D150000}"/>
    <cellStyle name="Normal 4 4 2 7 3 2" xfId="14432" xr:uid="{D75E400E-4A3D-4BEB-B265-4E34B86EEE36}"/>
    <cellStyle name="Normal 4 4 2 7 4" xfId="10214" xr:uid="{AB16968E-771F-4296-B22E-66DCCC47B20B}"/>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D672858D-9C6E-45EB-9291-C1550C1E4A42}"/>
    <cellStyle name="Normal 4 4 2 8 2 3" xfId="12772" xr:uid="{8A5F077B-1D10-4100-A7EA-216117791623}"/>
    <cellStyle name="Normal 4 4 2 8 3" xfId="6406" xr:uid="{00000000-0005-0000-0000-000061150000}"/>
    <cellStyle name="Normal 4 4 2 8 3 2" xfId="14845" xr:uid="{C13C1DCB-B1A6-4A78-BC6B-3EFBEBBC797A}"/>
    <cellStyle name="Normal 4 4 2 8 4" xfId="10627" xr:uid="{678AA407-0F5E-4C50-87F6-31ED63712D15}"/>
    <cellStyle name="Normal 4 4 2 9" xfId="2535" xr:uid="{00000000-0005-0000-0000-000062150000}"/>
    <cellStyle name="Normal 4 4 2 9 2" xfId="6819" xr:uid="{00000000-0005-0000-0000-000063150000}"/>
    <cellStyle name="Normal 4 4 2 9 2 2" xfId="15258" xr:uid="{1A787715-90BF-45B9-AC18-0C43232FE1AD}"/>
    <cellStyle name="Normal 4 4 2 9 3" xfId="11040" xr:uid="{030184DE-AC64-4B33-8C99-4F239CC5E735}"/>
    <cellStyle name="Normal 4 4 3" xfId="387" xr:uid="{00000000-0005-0000-0000-000064150000}"/>
    <cellStyle name="Normal 4 4 3 10" xfId="8983" xr:uid="{995938C2-5C09-47B0-96F3-853D5248348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F21D9DB2-74B9-4A97-853B-1685662D0336}"/>
    <cellStyle name="Normal 4 4 3 2 2 2 2 3" xfId="11543" xr:uid="{B3E0D1EA-B09C-4F1A-88F5-493451FED2F4}"/>
    <cellStyle name="Normal 4 4 3 2 2 2 3" xfId="5177" xr:uid="{00000000-0005-0000-0000-00006A150000}"/>
    <cellStyle name="Normal 4 4 3 2 2 2 3 2" xfId="13616" xr:uid="{59DB1C45-00B5-43A9-BA00-DE2CC40B0355}"/>
    <cellStyle name="Normal 4 4 3 2 2 2 4" xfId="9398" xr:uid="{295BCEAC-CE74-469F-9E7C-B6B7EC0C6D98}"/>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CD0FDF1A-CC81-4D56-9A8E-7F445B904F6A}"/>
    <cellStyle name="Normal 4 4 3 2 2 3 2 3" xfId="11956" xr:uid="{1A575920-5612-4C4D-AFF8-0D6A9AC6E75B}"/>
    <cellStyle name="Normal 4 4 3 2 2 3 3" xfId="5590" xr:uid="{00000000-0005-0000-0000-00006E150000}"/>
    <cellStyle name="Normal 4 4 3 2 2 3 3 2" xfId="14029" xr:uid="{FDF58074-CE16-4BD8-9562-6A3F6EB75BB7}"/>
    <cellStyle name="Normal 4 4 3 2 2 3 4" xfId="9811" xr:uid="{E784F09C-8314-4EEC-99F0-5A7151E0B671}"/>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5FFC4466-7ABE-4F8D-9F83-179431DCDB27}"/>
    <cellStyle name="Normal 4 4 3 2 2 4 2 3" xfId="12369" xr:uid="{4F17ABB4-1842-4FEF-8030-AAEB0EB6C44D}"/>
    <cellStyle name="Normal 4 4 3 2 2 4 3" xfId="6003" xr:uid="{00000000-0005-0000-0000-000072150000}"/>
    <cellStyle name="Normal 4 4 3 2 2 4 3 2" xfId="14442" xr:uid="{3ED07B3E-45C5-4EEC-90EB-469924D6E9A6}"/>
    <cellStyle name="Normal 4 4 3 2 2 4 4" xfId="10224" xr:uid="{1C2F2E47-7770-4A49-BF69-9868BC279BB7}"/>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B29A89D9-9D4F-4DA9-ACA8-AB5F0A38A9C6}"/>
    <cellStyle name="Normal 4 4 3 2 2 5 2 3" xfId="12782" xr:uid="{267111CC-7C62-4683-8D04-DBABD11AD6F2}"/>
    <cellStyle name="Normal 4 4 3 2 2 5 3" xfId="6416" xr:uid="{00000000-0005-0000-0000-000076150000}"/>
    <cellStyle name="Normal 4 4 3 2 2 5 3 2" xfId="14855" xr:uid="{AFBE1F22-B62E-4D28-BDBA-F8AF69F1D0CC}"/>
    <cellStyle name="Normal 4 4 3 2 2 5 4" xfId="10637" xr:uid="{17554206-BF74-453D-B75A-88AA0A025A63}"/>
    <cellStyle name="Normal 4 4 3 2 2 6" xfId="2545" xr:uid="{00000000-0005-0000-0000-000077150000}"/>
    <cellStyle name="Normal 4 4 3 2 2 6 2" xfId="6829" xr:uid="{00000000-0005-0000-0000-000078150000}"/>
    <cellStyle name="Normal 4 4 3 2 2 6 2 2" xfId="15268" xr:uid="{64367D13-1DD2-4892-82DC-F927AD42B4AA}"/>
    <cellStyle name="Normal 4 4 3 2 2 6 3" xfId="11050" xr:uid="{63A15435-0EC8-4AC8-BFA5-97B4896681FC}"/>
    <cellStyle name="Normal 4 4 3 2 2 7" xfId="4764" xr:uid="{00000000-0005-0000-0000-000079150000}"/>
    <cellStyle name="Normal 4 4 3 2 2 7 2" xfId="13203" xr:uid="{73C0D9B8-6ADA-494F-AC28-EFABF2CFE810}"/>
    <cellStyle name="Normal 4 4 3 2 2 8" xfId="8985" xr:uid="{08E3C7A9-FFB7-43DC-9FD5-3D51AFAFD2A0}"/>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8E188040-3222-4B3D-926A-6AEDD3D7CCFB}"/>
    <cellStyle name="Normal 4 4 3 2 3 2 3" xfId="11542" xr:uid="{63C34B55-DD7E-4E85-A3D4-961844588BCE}"/>
    <cellStyle name="Normal 4 4 3 2 3 3" xfId="5176" xr:uid="{00000000-0005-0000-0000-00007D150000}"/>
    <cellStyle name="Normal 4 4 3 2 3 3 2" xfId="13615" xr:uid="{C6FF6679-D6AC-4552-BE3E-2A46DC8E12CA}"/>
    <cellStyle name="Normal 4 4 3 2 3 4" xfId="9397" xr:uid="{21DF44FC-0A2A-420D-A794-BDFFFA36C9DD}"/>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9FD71E1A-780C-41FD-948F-A0A6F74294B7}"/>
    <cellStyle name="Normal 4 4 3 2 4 2 3" xfId="11955" xr:uid="{94E435DB-EC7C-435C-AD15-029EE3DF6913}"/>
    <cellStyle name="Normal 4 4 3 2 4 3" xfId="5589" xr:uid="{00000000-0005-0000-0000-000081150000}"/>
    <cellStyle name="Normal 4 4 3 2 4 3 2" xfId="14028" xr:uid="{2C82661C-F6C8-40E3-ABD9-354EDF7CFA56}"/>
    <cellStyle name="Normal 4 4 3 2 4 4" xfId="9810" xr:uid="{A4195007-CB69-498F-8432-3E22090FF482}"/>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7BF0316F-D170-4E8B-AB95-5F58B0670D75}"/>
    <cellStyle name="Normal 4 4 3 2 5 2 3" xfId="12368" xr:uid="{26E15824-D3EE-4ABA-9676-DE51582FC915}"/>
    <cellStyle name="Normal 4 4 3 2 5 3" xfId="6002" xr:uid="{00000000-0005-0000-0000-000085150000}"/>
    <cellStyle name="Normal 4 4 3 2 5 3 2" xfId="14441" xr:uid="{29D25445-4AB4-492C-BD6F-882621398637}"/>
    <cellStyle name="Normal 4 4 3 2 5 4" xfId="10223" xr:uid="{5ECD55DB-C366-47C6-9650-45C787D56370}"/>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19ECE181-C91E-428C-A338-9446F4AC56CC}"/>
    <cellStyle name="Normal 4 4 3 2 6 2 3" xfId="12781" xr:uid="{C25700FC-C546-41E0-B22C-35475B9278A5}"/>
    <cellStyle name="Normal 4 4 3 2 6 3" xfId="6415" xr:uid="{00000000-0005-0000-0000-000089150000}"/>
    <cellStyle name="Normal 4 4 3 2 6 3 2" xfId="14854" xr:uid="{4EF767BC-F05F-4774-9CE0-D13E67BFE6FC}"/>
    <cellStyle name="Normal 4 4 3 2 6 4" xfId="10636" xr:uid="{903040A2-EFFB-46EF-87E0-EE43DFC5117E}"/>
    <cellStyle name="Normal 4 4 3 2 7" xfId="2544" xr:uid="{00000000-0005-0000-0000-00008A150000}"/>
    <cellStyle name="Normal 4 4 3 2 7 2" xfId="6828" xr:uid="{00000000-0005-0000-0000-00008B150000}"/>
    <cellStyle name="Normal 4 4 3 2 7 2 2" xfId="15267" xr:uid="{E7C8CD36-BD99-4087-95CE-36A030EFB6CB}"/>
    <cellStyle name="Normal 4 4 3 2 7 3" xfId="11049" xr:uid="{C4C70C1B-1C1F-4DB9-A6C7-D7CFF2480E4E}"/>
    <cellStyle name="Normal 4 4 3 2 8" xfId="4763" xr:uid="{00000000-0005-0000-0000-00008C150000}"/>
    <cellStyle name="Normal 4 4 3 2 8 2" xfId="13202" xr:uid="{67A848BE-A281-43E7-985E-713B12AE12FE}"/>
    <cellStyle name="Normal 4 4 3 2 9" xfId="8984" xr:uid="{19A3E62F-F0FF-4280-8952-1BA6E8E35689}"/>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51C2E361-BC91-458C-84CE-9D4A8EA28655}"/>
    <cellStyle name="Normal 4 4 3 3 2 2 3" xfId="11544" xr:uid="{4C4D315D-A6EB-492F-81FC-58926B6144B7}"/>
    <cellStyle name="Normal 4 4 3 3 2 3" xfId="5178" xr:uid="{00000000-0005-0000-0000-000091150000}"/>
    <cellStyle name="Normal 4 4 3 3 2 3 2" xfId="13617" xr:uid="{8BA9BCE9-B2EB-4F89-9890-4A659D87B815}"/>
    <cellStyle name="Normal 4 4 3 3 2 4" xfId="9399" xr:uid="{D423C272-9970-495E-AD69-A53AFFD43078}"/>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E9A22AF9-4F51-4EBE-ABBD-C76393E3FEF8}"/>
    <cellStyle name="Normal 4 4 3 3 3 2 3" xfId="11957" xr:uid="{5B4881B6-DCD9-4798-BDCE-0713FE993129}"/>
    <cellStyle name="Normal 4 4 3 3 3 3" xfId="5591" xr:uid="{00000000-0005-0000-0000-000095150000}"/>
    <cellStyle name="Normal 4 4 3 3 3 3 2" xfId="14030" xr:uid="{21092B2D-84C7-4687-B425-97A83EEE60CA}"/>
    <cellStyle name="Normal 4 4 3 3 3 4" xfId="9812" xr:uid="{71762638-65E6-441E-9EAE-6AA1A622D8E7}"/>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4424DBF8-1B01-4E30-A978-1B09340D33C3}"/>
    <cellStyle name="Normal 4 4 3 3 4 2 3" xfId="12370" xr:uid="{231ABB8E-A6E0-443F-B917-57E8A7B5B3A3}"/>
    <cellStyle name="Normal 4 4 3 3 4 3" xfId="6004" xr:uid="{00000000-0005-0000-0000-000099150000}"/>
    <cellStyle name="Normal 4 4 3 3 4 3 2" xfId="14443" xr:uid="{EFBBF641-668D-49EA-A0B9-CC55083B77A0}"/>
    <cellStyle name="Normal 4 4 3 3 4 4" xfId="10225" xr:uid="{AE2C0A43-A8B1-4E91-8A4C-9EE4E72453DE}"/>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61317411-415A-42CC-BE83-6736A4F147FD}"/>
    <cellStyle name="Normal 4 4 3 3 5 2 3" xfId="12783" xr:uid="{A5AAEDE1-DB6F-4F79-B576-4A4FE96D4E55}"/>
    <cellStyle name="Normal 4 4 3 3 5 3" xfId="6417" xr:uid="{00000000-0005-0000-0000-00009D150000}"/>
    <cellStyle name="Normal 4 4 3 3 5 3 2" xfId="14856" xr:uid="{D01AD43B-AB0F-4DAA-9922-A00717110551}"/>
    <cellStyle name="Normal 4 4 3 3 5 4" xfId="10638" xr:uid="{B7A144F4-6C44-4947-AFAF-6401FBC3A2BE}"/>
    <cellStyle name="Normal 4 4 3 3 6" xfId="2546" xr:uid="{00000000-0005-0000-0000-00009E150000}"/>
    <cellStyle name="Normal 4 4 3 3 6 2" xfId="6830" xr:uid="{00000000-0005-0000-0000-00009F150000}"/>
    <cellStyle name="Normal 4 4 3 3 6 2 2" xfId="15269" xr:uid="{FD314107-5D0F-4A20-89EC-CFECCDB8C9B6}"/>
    <cellStyle name="Normal 4 4 3 3 6 3" xfId="11051" xr:uid="{AF245FA5-0866-43DF-8815-ABEF48742B6D}"/>
    <cellStyle name="Normal 4 4 3 3 7" xfId="4765" xr:uid="{00000000-0005-0000-0000-0000A0150000}"/>
    <cellStyle name="Normal 4 4 3 3 7 2" xfId="13204" xr:uid="{A1519C54-06C0-4264-9181-0EF4EA8DBE0D}"/>
    <cellStyle name="Normal 4 4 3 3 8" xfId="8986" xr:uid="{11D0984A-66FD-467A-8A25-33B0DF053F20}"/>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32AB8A3F-1947-4492-8E6F-E37792AAD5E9}"/>
    <cellStyle name="Normal 4 4 3 4 2 3" xfId="11541" xr:uid="{5B18BA15-F652-4346-8B49-0B7E65E5575C}"/>
    <cellStyle name="Normal 4 4 3 4 3" xfId="5175" xr:uid="{00000000-0005-0000-0000-0000A4150000}"/>
    <cellStyle name="Normal 4 4 3 4 3 2" xfId="13614" xr:uid="{0DAA164E-B9E5-430F-83CC-9714F5C8D45A}"/>
    <cellStyle name="Normal 4 4 3 4 4" xfId="9396" xr:uid="{BCD966A7-EF54-4002-9D89-12C85A4D7F0A}"/>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972255D4-3B46-445F-8CDC-34D95472192A}"/>
    <cellStyle name="Normal 4 4 3 5 2 3" xfId="11954" xr:uid="{16DB5180-2ABA-48A5-8252-473DF808E7BE}"/>
    <cellStyle name="Normal 4 4 3 5 3" xfId="5588" xr:uid="{00000000-0005-0000-0000-0000A8150000}"/>
    <cellStyle name="Normal 4 4 3 5 3 2" xfId="14027" xr:uid="{FA0788D5-040C-4A15-8B37-97F31CEA81E4}"/>
    <cellStyle name="Normal 4 4 3 5 4" xfId="9809" xr:uid="{A9968EC6-9238-4815-916A-3D096CD795E6}"/>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10B3ACBC-F463-4509-AF33-33886D4EC5DD}"/>
    <cellStyle name="Normal 4 4 3 6 2 3" xfId="12367" xr:uid="{9ABBC6E1-9CD3-4461-8AC4-1A46643F8542}"/>
    <cellStyle name="Normal 4 4 3 6 3" xfId="6001" xr:uid="{00000000-0005-0000-0000-0000AC150000}"/>
    <cellStyle name="Normal 4 4 3 6 3 2" xfId="14440" xr:uid="{A040CC28-DED2-45C9-98AA-50D214B4EF81}"/>
    <cellStyle name="Normal 4 4 3 6 4" xfId="10222" xr:uid="{70A92622-3F92-4F4D-BEAD-5CAC7E1B1118}"/>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E1375A7B-7BC1-4747-BB5F-11D5A6BD8B23}"/>
    <cellStyle name="Normal 4 4 3 7 2 3" xfId="12780" xr:uid="{792F12AB-DB0F-47BB-994C-3489BD1BB7A5}"/>
    <cellStyle name="Normal 4 4 3 7 3" xfId="6414" xr:uid="{00000000-0005-0000-0000-0000B0150000}"/>
    <cellStyle name="Normal 4 4 3 7 3 2" xfId="14853" xr:uid="{83773D92-515A-4D53-9B20-BA1EA71E5783}"/>
    <cellStyle name="Normal 4 4 3 7 4" xfId="10635" xr:uid="{47620E2E-1DBC-4824-BF37-D2EBBF1B2443}"/>
    <cellStyle name="Normal 4 4 3 8" xfId="2543" xr:uid="{00000000-0005-0000-0000-0000B1150000}"/>
    <cellStyle name="Normal 4 4 3 8 2" xfId="6827" xr:uid="{00000000-0005-0000-0000-0000B2150000}"/>
    <cellStyle name="Normal 4 4 3 8 2 2" xfId="15266" xr:uid="{CAD38E92-EB28-4144-88A5-7FCC786FD141}"/>
    <cellStyle name="Normal 4 4 3 8 3" xfId="11048" xr:uid="{1BC9C496-C51B-4C99-82C9-8A169EF024AC}"/>
    <cellStyle name="Normal 4 4 3 9" xfId="4762" xr:uid="{00000000-0005-0000-0000-0000B3150000}"/>
    <cellStyle name="Normal 4 4 3 9 2" xfId="13201" xr:uid="{68886EA0-91C8-4935-807D-D92E48870869}"/>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55113F2E-732D-42F6-931D-E0A1B01696A4}"/>
    <cellStyle name="Normal 4 4 4 2 2 2 3" xfId="11546" xr:uid="{E7BAFA08-68D4-4C35-BA5E-AD880C89C0D1}"/>
    <cellStyle name="Normal 4 4 4 2 2 3" xfId="5180" xr:uid="{00000000-0005-0000-0000-0000B9150000}"/>
    <cellStyle name="Normal 4 4 4 2 2 3 2" xfId="13619" xr:uid="{9FAA308E-13C1-47B6-9CDB-9845538933BB}"/>
    <cellStyle name="Normal 4 4 4 2 2 4" xfId="9401" xr:uid="{66712202-2C77-4711-BB5B-AFD6BBDDB064}"/>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36408360-76C9-4A60-B7EF-8F8EFD503CC2}"/>
    <cellStyle name="Normal 4 4 4 2 3 2 3" xfId="11959" xr:uid="{794208FE-C3E6-4CB1-AB2A-2A73CCF8BE5A}"/>
    <cellStyle name="Normal 4 4 4 2 3 3" xfId="5593" xr:uid="{00000000-0005-0000-0000-0000BD150000}"/>
    <cellStyle name="Normal 4 4 4 2 3 3 2" xfId="14032" xr:uid="{C0A3B232-5358-4B31-98E9-E564E65CB65B}"/>
    <cellStyle name="Normal 4 4 4 2 3 4" xfId="9814" xr:uid="{1D2D134B-4029-4DAF-90F4-A7654B512C16}"/>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583C5317-2BD4-4A57-B633-5F98DF5BE1B6}"/>
    <cellStyle name="Normal 4 4 4 2 4 2 3" xfId="12372" xr:uid="{AA84AB72-FD8B-42B8-9E64-CB9DECDAFAB1}"/>
    <cellStyle name="Normal 4 4 4 2 4 3" xfId="6006" xr:uid="{00000000-0005-0000-0000-0000C1150000}"/>
    <cellStyle name="Normal 4 4 4 2 4 3 2" xfId="14445" xr:uid="{BEFF2826-8543-4747-994E-71E284B6AAAA}"/>
    <cellStyle name="Normal 4 4 4 2 4 4" xfId="10227" xr:uid="{7240218D-F953-4470-A3F3-759918403883}"/>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D6E465E3-02FA-4841-B0B0-FF71F78E5110}"/>
    <cellStyle name="Normal 4 4 4 2 5 2 3" xfId="12785" xr:uid="{9DD93BE1-15A3-46B3-A752-A380894FD2F6}"/>
    <cellStyle name="Normal 4 4 4 2 5 3" xfId="6419" xr:uid="{00000000-0005-0000-0000-0000C5150000}"/>
    <cellStyle name="Normal 4 4 4 2 5 3 2" xfId="14858" xr:uid="{246ABA8C-50D0-4B7A-9715-0238EE55F02B}"/>
    <cellStyle name="Normal 4 4 4 2 5 4" xfId="10640" xr:uid="{7A1A8B28-0F64-4515-9395-BB977D01048F}"/>
    <cellStyle name="Normal 4 4 4 2 6" xfId="2548" xr:uid="{00000000-0005-0000-0000-0000C6150000}"/>
    <cellStyle name="Normal 4 4 4 2 6 2" xfId="6832" xr:uid="{00000000-0005-0000-0000-0000C7150000}"/>
    <cellStyle name="Normal 4 4 4 2 6 2 2" xfId="15271" xr:uid="{A86248D1-4EC2-44FB-9128-0CCEAD0A19E7}"/>
    <cellStyle name="Normal 4 4 4 2 6 3" xfId="11053" xr:uid="{361F057A-F48A-4746-BDB6-CAF9CE10743C}"/>
    <cellStyle name="Normal 4 4 4 2 7" xfId="4767" xr:uid="{00000000-0005-0000-0000-0000C8150000}"/>
    <cellStyle name="Normal 4 4 4 2 7 2" xfId="13206" xr:uid="{0F4B57C8-3F5A-4549-A6BF-43506F57A3F0}"/>
    <cellStyle name="Normal 4 4 4 2 8" xfId="8988" xr:uid="{3B128078-14B6-47B0-B7C9-03138C031FE2}"/>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4E4809E4-6F3B-477E-811C-6B85C347064E}"/>
    <cellStyle name="Normal 4 4 4 3 2 3" xfId="11545" xr:uid="{DF0D2EB1-F66B-4BF5-AFDB-A7C8799BA841}"/>
    <cellStyle name="Normal 4 4 4 3 3" xfId="5179" xr:uid="{00000000-0005-0000-0000-0000CC150000}"/>
    <cellStyle name="Normal 4 4 4 3 3 2" xfId="13618" xr:uid="{4FFD3386-1F8C-4F88-9551-B6E20C43FF5A}"/>
    <cellStyle name="Normal 4 4 4 3 4" xfId="9400" xr:uid="{B5208D59-8C10-4FC2-B34F-3FB22D7F2A93}"/>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ACB5DBFC-F25E-4BCE-A859-12E84801A876}"/>
    <cellStyle name="Normal 4 4 4 4 2 3" xfId="11958" xr:uid="{AFBF2626-DFB9-4D43-BDA5-51053CC37EF0}"/>
    <cellStyle name="Normal 4 4 4 4 3" xfId="5592" xr:uid="{00000000-0005-0000-0000-0000D0150000}"/>
    <cellStyle name="Normal 4 4 4 4 3 2" xfId="14031" xr:uid="{3DD1044A-9BFE-439B-B3DE-AC2E288B0649}"/>
    <cellStyle name="Normal 4 4 4 4 4" xfId="9813" xr:uid="{A43E715A-2185-454F-8D8F-1141C47BE4F3}"/>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4EFECA88-87DD-495B-BFB0-089A51F1939B}"/>
    <cellStyle name="Normal 4 4 4 5 2 3" xfId="12371" xr:uid="{F36F591C-C08A-4B9C-B101-9F6F5F9A4034}"/>
    <cellStyle name="Normal 4 4 4 5 3" xfId="6005" xr:uid="{00000000-0005-0000-0000-0000D4150000}"/>
    <cellStyle name="Normal 4 4 4 5 3 2" xfId="14444" xr:uid="{6F2FA907-2250-45AD-B895-602CEAB0FC61}"/>
    <cellStyle name="Normal 4 4 4 5 4" xfId="10226" xr:uid="{C4E2D4A5-6092-424E-8737-FFD085309B96}"/>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C1D2D9A1-6DEB-4783-AF24-3067D09F7078}"/>
    <cellStyle name="Normal 4 4 4 6 2 3" xfId="12784" xr:uid="{336AD599-5045-4739-9275-C7E9317B90C3}"/>
    <cellStyle name="Normal 4 4 4 6 3" xfId="6418" xr:uid="{00000000-0005-0000-0000-0000D8150000}"/>
    <cellStyle name="Normal 4 4 4 6 3 2" xfId="14857" xr:uid="{FB00ABCE-147F-4D64-A1CE-6D1F5A9644CA}"/>
    <cellStyle name="Normal 4 4 4 6 4" xfId="10639" xr:uid="{23306467-4266-4FFE-9121-87EA776D0A45}"/>
    <cellStyle name="Normal 4 4 4 7" xfId="2547" xr:uid="{00000000-0005-0000-0000-0000D9150000}"/>
    <cellStyle name="Normal 4 4 4 7 2" xfId="6831" xr:uid="{00000000-0005-0000-0000-0000DA150000}"/>
    <cellStyle name="Normal 4 4 4 7 2 2" xfId="15270" xr:uid="{4F599674-37CE-4B1B-92FE-38559E576C79}"/>
    <cellStyle name="Normal 4 4 4 7 3" xfId="11052" xr:uid="{3C236CFB-D52B-401E-A689-F041872A1DA3}"/>
    <cellStyle name="Normal 4 4 4 8" xfId="4766" xr:uid="{00000000-0005-0000-0000-0000DB150000}"/>
    <cellStyle name="Normal 4 4 4 8 2" xfId="13205" xr:uid="{9B9A31A6-AC67-467C-8D2C-BCAEEE359786}"/>
    <cellStyle name="Normal 4 4 4 9" xfId="8987" xr:uid="{E169970D-2166-46E1-91C1-CDAD1A59BB56}"/>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271E1EE5-221E-4CC4-AF77-9116A6724EA1}"/>
    <cellStyle name="Normal 4 4 5 2 2 3" xfId="11547" xr:uid="{F3D6B1BC-0729-4567-8930-ACC45778FEDB}"/>
    <cellStyle name="Normal 4 4 5 2 3" xfId="5181" xr:uid="{00000000-0005-0000-0000-0000E0150000}"/>
    <cellStyle name="Normal 4 4 5 2 3 2" xfId="13620" xr:uid="{7E325A84-6148-4E29-9B45-B58C0A5C6040}"/>
    <cellStyle name="Normal 4 4 5 2 4" xfId="9402" xr:uid="{A2B9C52D-6ABC-418F-AE17-8FA7FE17D46C}"/>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173F1852-CBFE-4CF5-9052-DDAF1E175B03}"/>
    <cellStyle name="Normal 4 4 5 3 2 3" xfId="11960" xr:uid="{F89EEB77-0032-4C7D-A042-FDC0A4505DC2}"/>
    <cellStyle name="Normal 4 4 5 3 3" xfId="5594" xr:uid="{00000000-0005-0000-0000-0000E4150000}"/>
    <cellStyle name="Normal 4 4 5 3 3 2" xfId="14033" xr:uid="{CBDFEA7E-F632-45AB-9F4B-B68F57031DA3}"/>
    <cellStyle name="Normal 4 4 5 3 4" xfId="9815" xr:uid="{4587E969-8382-4536-8508-FE986F83718B}"/>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8C40700A-C0E6-4F52-AE84-42CAEE0BBC9F}"/>
    <cellStyle name="Normal 4 4 5 4 2 3" xfId="12373" xr:uid="{3E1A2F8B-8C7B-45E7-A61B-3651B0D21F65}"/>
    <cellStyle name="Normal 4 4 5 4 3" xfId="6007" xr:uid="{00000000-0005-0000-0000-0000E8150000}"/>
    <cellStyle name="Normal 4 4 5 4 3 2" xfId="14446" xr:uid="{C628A6F1-0B37-43E3-B76E-EA6CDB2875ED}"/>
    <cellStyle name="Normal 4 4 5 4 4" xfId="10228" xr:uid="{1F107582-CA87-4429-9827-3890842E62CF}"/>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95BF5DAE-6795-4B3D-B677-5078FD92AB93}"/>
    <cellStyle name="Normal 4 4 5 5 2 3" xfId="12786" xr:uid="{F6623A84-E4DC-435E-98BA-0FFE401EE6A9}"/>
    <cellStyle name="Normal 4 4 5 5 3" xfId="6420" xr:uid="{00000000-0005-0000-0000-0000EC150000}"/>
    <cellStyle name="Normal 4 4 5 5 3 2" xfId="14859" xr:uid="{30E0AC5F-58DA-4833-B69C-6B112221362F}"/>
    <cellStyle name="Normal 4 4 5 5 4" xfId="10641" xr:uid="{F1DABB95-B783-4242-9FD6-3391701B0109}"/>
    <cellStyle name="Normal 4 4 5 6" xfId="2549" xr:uid="{00000000-0005-0000-0000-0000ED150000}"/>
    <cellStyle name="Normal 4 4 5 6 2" xfId="6833" xr:uid="{00000000-0005-0000-0000-0000EE150000}"/>
    <cellStyle name="Normal 4 4 5 6 2 2" xfId="15272" xr:uid="{6C7C3165-B14B-47F6-B3F3-ABE71C370B3D}"/>
    <cellStyle name="Normal 4 4 5 6 3" xfId="11054" xr:uid="{1355C53E-1135-4445-BAAC-C9FEE364B736}"/>
    <cellStyle name="Normal 4 4 5 7" xfId="4768" xr:uid="{00000000-0005-0000-0000-0000EF150000}"/>
    <cellStyle name="Normal 4 4 5 7 2" xfId="13207" xr:uid="{8784D062-1674-41A5-866C-2548AF3F7AA3}"/>
    <cellStyle name="Normal 4 4 5 8" xfId="8989" xr:uid="{2042280A-C74A-47D6-8D40-52CBD28A0CF4}"/>
    <cellStyle name="Normal 4 4 6" xfId="853" xr:uid="{00000000-0005-0000-0000-0000F0150000}"/>
    <cellStyle name="Normal 4 4 6 2" xfId="3088" xr:uid="{00000000-0005-0000-0000-0000F1150000}"/>
    <cellStyle name="Normal 4 4 6 2 2" xfId="7311" xr:uid="{00000000-0005-0000-0000-0000F2150000}"/>
    <cellStyle name="Normal 4 4 6 2 2 2" xfId="15750" xr:uid="{A4613C80-39E0-4AA6-9662-55519D1D91A8}"/>
    <cellStyle name="Normal 4 4 6 2 3" xfId="11532" xr:uid="{5BCC27E9-BAA3-4E19-974E-36B3FB3949AE}"/>
    <cellStyle name="Normal 4 4 6 3" xfId="5166" xr:uid="{00000000-0005-0000-0000-0000F3150000}"/>
    <cellStyle name="Normal 4 4 6 3 2" xfId="13605" xr:uid="{9E378852-BAB7-4419-8944-BAC72498D48C}"/>
    <cellStyle name="Normal 4 4 6 4" xfId="9387" xr:uid="{991E56CA-9AC6-4A9C-9F37-3464037CDAA8}"/>
    <cellStyle name="Normal 4 4 7" xfId="1271" xr:uid="{00000000-0005-0000-0000-0000F4150000}"/>
    <cellStyle name="Normal 4 4 7 2" xfId="3501" xr:uid="{00000000-0005-0000-0000-0000F5150000}"/>
    <cellStyle name="Normal 4 4 7 2 2" xfId="7724" xr:uid="{00000000-0005-0000-0000-0000F6150000}"/>
    <cellStyle name="Normal 4 4 7 2 2 2" xfId="16163" xr:uid="{F882D335-818E-4FD5-B9DC-1D75292FD0FF}"/>
    <cellStyle name="Normal 4 4 7 2 3" xfId="11945" xr:uid="{A4465510-D581-4405-8F4B-1A5F0CC5953D}"/>
    <cellStyle name="Normal 4 4 7 3" xfId="5579" xr:uid="{00000000-0005-0000-0000-0000F7150000}"/>
    <cellStyle name="Normal 4 4 7 3 2" xfId="14018" xr:uid="{4590A87C-CFDB-4F6B-8AC7-1755D1183255}"/>
    <cellStyle name="Normal 4 4 7 4" xfId="9800" xr:uid="{4FCB14CE-110A-441B-A905-3C122A0ED7EB}"/>
    <cellStyle name="Normal 4 4 8" xfId="1684" xr:uid="{00000000-0005-0000-0000-0000F8150000}"/>
    <cellStyle name="Normal 4 4 8 2" xfId="3914" xr:uid="{00000000-0005-0000-0000-0000F9150000}"/>
    <cellStyle name="Normal 4 4 8 2 2" xfId="8137" xr:uid="{00000000-0005-0000-0000-0000FA150000}"/>
    <cellStyle name="Normal 4 4 8 2 2 2" xfId="16576" xr:uid="{339F946A-54B2-4F5B-A9F5-5867F6D3D9D6}"/>
    <cellStyle name="Normal 4 4 8 2 3" xfId="12358" xr:uid="{079789A4-AEA4-4F59-B27E-71545DA5A0DE}"/>
    <cellStyle name="Normal 4 4 8 3" xfId="5992" xr:uid="{00000000-0005-0000-0000-0000FB150000}"/>
    <cellStyle name="Normal 4 4 8 3 2" xfId="14431" xr:uid="{03959F21-BC93-49D3-AEAB-1A4945E00D67}"/>
    <cellStyle name="Normal 4 4 8 4" xfId="10213" xr:uid="{3E48E1DA-D227-442F-899E-4835D20213CA}"/>
    <cellStyle name="Normal 4 4 9" xfId="2098" xr:uid="{00000000-0005-0000-0000-0000FC150000}"/>
    <cellStyle name="Normal 4 4 9 2" xfId="4327" xr:uid="{00000000-0005-0000-0000-0000FD150000}"/>
    <cellStyle name="Normal 4 4 9 2 2" xfId="8550" xr:uid="{00000000-0005-0000-0000-0000FE150000}"/>
    <cellStyle name="Normal 4 4 9 2 2 2" xfId="16989" xr:uid="{F4900B10-5670-4DD7-8595-C3BCFECB47E7}"/>
    <cellStyle name="Normal 4 4 9 2 3" xfId="12771" xr:uid="{1BAB47A2-F496-4238-AEEC-D372958830AA}"/>
    <cellStyle name="Normal 4 4 9 3" xfId="6405" xr:uid="{00000000-0005-0000-0000-0000FF150000}"/>
    <cellStyle name="Normal 4 4 9 3 2" xfId="14844" xr:uid="{7FF91453-479C-4554-8200-FB1D39FFF429}"/>
    <cellStyle name="Normal 4 4 9 4" xfId="10626" xr:uid="{6CCC2FC7-C40B-459A-8444-0E23B22AB11A}"/>
    <cellStyle name="Normal 4 5" xfId="394" xr:uid="{00000000-0005-0000-0000-000000160000}"/>
    <cellStyle name="Normal 4 6" xfId="395" xr:uid="{00000000-0005-0000-0000-000001160000}"/>
    <cellStyle name="Normal 4 6 10" xfId="4769" xr:uid="{00000000-0005-0000-0000-000002160000}"/>
    <cellStyle name="Normal 4 6 10 2" xfId="13208" xr:uid="{CB3DA258-00B8-446B-B71C-8BEE30C548B4}"/>
    <cellStyle name="Normal 4 6 11" xfId="8990" xr:uid="{21B36154-CD32-4FB7-8EE3-8339C8AA6115}"/>
    <cellStyle name="Normal 4 6 2" xfId="396" xr:uid="{00000000-0005-0000-0000-000003160000}"/>
    <cellStyle name="Normal 4 6 2 10" xfId="8991" xr:uid="{EBB7E946-5425-4B73-8FB0-80E449D1DD85}"/>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ADBC49BF-5A0D-42B7-A91A-17BA0E997F77}"/>
    <cellStyle name="Normal 4 6 2 2 2 2 2 3" xfId="11551" xr:uid="{5AC88ECA-2500-4D4C-B42C-D8D2F522BDB6}"/>
    <cellStyle name="Normal 4 6 2 2 2 2 3" xfId="5185" xr:uid="{00000000-0005-0000-0000-000009160000}"/>
    <cellStyle name="Normal 4 6 2 2 2 2 3 2" xfId="13624" xr:uid="{47773CF6-463C-4300-A568-F580BD5D6A33}"/>
    <cellStyle name="Normal 4 6 2 2 2 2 4" xfId="9406" xr:uid="{9CF05ACD-C2E8-4E5E-9286-B4C398C38C3D}"/>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14F43B11-E3A9-45DB-9E09-603B65CCB1A4}"/>
    <cellStyle name="Normal 4 6 2 2 2 3 2 3" xfId="11964" xr:uid="{2AE77E3C-53AF-4EEA-A7CA-00370D6A8A58}"/>
    <cellStyle name="Normal 4 6 2 2 2 3 3" xfId="5598" xr:uid="{00000000-0005-0000-0000-00000D160000}"/>
    <cellStyle name="Normal 4 6 2 2 2 3 3 2" xfId="14037" xr:uid="{39BFD870-C525-44CC-86C5-B86DCB943FA6}"/>
    <cellStyle name="Normal 4 6 2 2 2 3 4" xfId="9819" xr:uid="{087ABBF5-EFF1-48E0-BA23-1D23AE5C4643}"/>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C2CA6EDA-B98D-437E-9FB5-0FE4F460A266}"/>
    <cellStyle name="Normal 4 6 2 2 2 4 2 3" xfId="12377" xr:uid="{CF93132A-25B9-4F7E-93EE-5D116D11655F}"/>
    <cellStyle name="Normal 4 6 2 2 2 4 3" xfId="6011" xr:uid="{00000000-0005-0000-0000-000011160000}"/>
    <cellStyle name="Normal 4 6 2 2 2 4 3 2" xfId="14450" xr:uid="{96515EF2-7D85-4AF3-8A9C-5205B951F1C5}"/>
    <cellStyle name="Normal 4 6 2 2 2 4 4" xfId="10232" xr:uid="{927B8180-DFF0-4E68-97B8-1EDE88E9DC87}"/>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7B41EE82-ECDF-45D5-A6AB-76369578F9B4}"/>
    <cellStyle name="Normal 4 6 2 2 2 5 2 3" xfId="12790" xr:uid="{B510127B-34F2-45F0-BED8-FFDEE4429367}"/>
    <cellStyle name="Normal 4 6 2 2 2 5 3" xfId="6424" xr:uid="{00000000-0005-0000-0000-000015160000}"/>
    <cellStyle name="Normal 4 6 2 2 2 5 3 2" xfId="14863" xr:uid="{EA3CA9A7-1C0C-4835-906E-66E355804E95}"/>
    <cellStyle name="Normal 4 6 2 2 2 5 4" xfId="10645" xr:uid="{A1748848-0BBE-4D9F-8499-3DF29E6EDB43}"/>
    <cellStyle name="Normal 4 6 2 2 2 6" xfId="2553" xr:uid="{00000000-0005-0000-0000-000016160000}"/>
    <cellStyle name="Normal 4 6 2 2 2 6 2" xfId="6837" xr:uid="{00000000-0005-0000-0000-000017160000}"/>
    <cellStyle name="Normal 4 6 2 2 2 6 2 2" xfId="15276" xr:uid="{2859DDD8-10BE-480A-BA44-10C97D18A229}"/>
    <cellStyle name="Normal 4 6 2 2 2 6 3" xfId="11058" xr:uid="{07B89EA1-A870-45EA-A325-21AA37A09F94}"/>
    <cellStyle name="Normal 4 6 2 2 2 7" xfId="4772" xr:uid="{00000000-0005-0000-0000-000018160000}"/>
    <cellStyle name="Normal 4 6 2 2 2 7 2" xfId="13211" xr:uid="{A2EFC3F5-ABBB-43C4-9EA9-EA28AB3D2089}"/>
    <cellStyle name="Normal 4 6 2 2 2 8" xfId="8993" xr:uid="{D6B06CF2-854D-402E-9FD5-709D41F941E1}"/>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BFFB087C-D8C3-4CBF-83EF-E173AE94EF59}"/>
    <cellStyle name="Normal 4 6 2 2 3 2 3" xfId="11550" xr:uid="{A3056D0C-6D76-422F-A30A-B8DAD3922390}"/>
    <cellStyle name="Normal 4 6 2 2 3 3" xfId="5184" xr:uid="{00000000-0005-0000-0000-00001C160000}"/>
    <cellStyle name="Normal 4 6 2 2 3 3 2" xfId="13623" xr:uid="{E38FCD4C-BEE3-4ED8-83C9-53B1F8406CE4}"/>
    <cellStyle name="Normal 4 6 2 2 3 4" xfId="9405" xr:uid="{1AA0D113-F68A-4357-9848-AE834B4D248E}"/>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9B8CEC49-5A97-4EAE-AB3E-F185ABCA2B6E}"/>
    <cellStyle name="Normal 4 6 2 2 4 2 3" xfId="11963" xr:uid="{88DA9789-CD4F-47EE-A7FC-D0D72167ECF8}"/>
    <cellStyle name="Normal 4 6 2 2 4 3" xfId="5597" xr:uid="{00000000-0005-0000-0000-000020160000}"/>
    <cellStyle name="Normal 4 6 2 2 4 3 2" xfId="14036" xr:uid="{2FDB50ED-E4FC-43E2-97EB-6E94C037B949}"/>
    <cellStyle name="Normal 4 6 2 2 4 4" xfId="9818" xr:uid="{EE9ABD3D-4B7E-4239-BA1B-524E6D1DA14D}"/>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005CE0F0-0674-47F5-9B14-C4E9F732E032}"/>
    <cellStyle name="Normal 4 6 2 2 5 2 3" xfId="12376" xr:uid="{9274FCE7-B7B6-434F-9658-9A816AD137D4}"/>
    <cellStyle name="Normal 4 6 2 2 5 3" xfId="6010" xr:uid="{00000000-0005-0000-0000-000024160000}"/>
    <cellStyle name="Normal 4 6 2 2 5 3 2" xfId="14449" xr:uid="{41ABB286-29C6-4A85-8743-9561A4640DA1}"/>
    <cellStyle name="Normal 4 6 2 2 5 4" xfId="10231" xr:uid="{0B0E4C82-8596-49A3-920A-8087ABB8FE74}"/>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297509EB-9793-4DD0-AC31-B2B442E56228}"/>
    <cellStyle name="Normal 4 6 2 2 6 2 3" xfId="12789" xr:uid="{EA646A97-87BC-4187-9544-8CE7D79CEA00}"/>
    <cellStyle name="Normal 4 6 2 2 6 3" xfId="6423" xr:uid="{00000000-0005-0000-0000-000028160000}"/>
    <cellStyle name="Normal 4 6 2 2 6 3 2" xfId="14862" xr:uid="{72A4E074-AE6B-4187-B676-1744571DDA72}"/>
    <cellStyle name="Normal 4 6 2 2 6 4" xfId="10644" xr:uid="{320328F0-229A-4366-A433-CB98FD1BF1F0}"/>
    <cellStyle name="Normal 4 6 2 2 7" xfId="2552" xr:uid="{00000000-0005-0000-0000-000029160000}"/>
    <cellStyle name="Normal 4 6 2 2 7 2" xfId="6836" xr:uid="{00000000-0005-0000-0000-00002A160000}"/>
    <cellStyle name="Normal 4 6 2 2 7 2 2" xfId="15275" xr:uid="{A2B974DC-9864-40F0-A9F7-870FF267C91B}"/>
    <cellStyle name="Normal 4 6 2 2 7 3" xfId="11057" xr:uid="{9DE8DC3A-DEF8-4652-A250-F67293C0C36D}"/>
    <cellStyle name="Normal 4 6 2 2 8" xfId="4771" xr:uid="{00000000-0005-0000-0000-00002B160000}"/>
    <cellStyle name="Normal 4 6 2 2 8 2" xfId="13210" xr:uid="{9B112C9F-F3A9-4018-851D-CB66FC521F7E}"/>
    <cellStyle name="Normal 4 6 2 2 9" xfId="8992" xr:uid="{4E2D22A6-9543-463F-A7E5-ACD001753605}"/>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E0919CCF-B894-4292-B4FE-EE989C3BA80D}"/>
    <cellStyle name="Normal 4 6 2 3 2 2 3" xfId="11552" xr:uid="{3D3DEF27-956B-461D-A542-311C06BC4A4C}"/>
    <cellStyle name="Normal 4 6 2 3 2 3" xfId="5186" xr:uid="{00000000-0005-0000-0000-000030160000}"/>
    <cellStyle name="Normal 4 6 2 3 2 3 2" xfId="13625" xr:uid="{7DAFCBF1-0B59-4337-BEF3-9C80F6302FD6}"/>
    <cellStyle name="Normal 4 6 2 3 2 4" xfId="9407" xr:uid="{4BD7040A-7CA3-4FCF-8932-934DC5C7FE5A}"/>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63355F7A-22C9-4853-B264-DA6349B80C9E}"/>
    <cellStyle name="Normal 4 6 2 3 3 2 3" xfId="11965" xr:uid="{8A4487F3-5812-4EE2-9891-FE959D204AF6}"/>
    <cellStyle name="Normal 4 6 2 3 3 3" xfId="5599" xr:uid="{00000000-0005-0000-0000-000034160000}"/>
    <cellStyle name="Normal 4 6 2 3 3 3 2" xfId="14038" xr:uid="{91533BD4-4DFF-40A9-8088-91D8A343B3E0}"/>
    <cellStyle name="Normal 4 6 2 3 3 4" xfId="9820" xr:uid="{FEB0FADF-DFD1-4823-A88E-94FFD33261F8}"/>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E1A8E0E0-86FF-4345-A9A3-991A4E447F61}"/>
    <cellStyle name="Normal 4 6 2 3 4 2 3" xfId="12378" xr:uid="{7BA539E1-20F0-4593-99B3-1E62D7FB1B83}"/>
    <cellStyle name="Normal 4 6 2 3 4 3" xfId="6012" xr:uid="{00000000-0005-0000-0000-000038160000}"/>
    <cellStyle name="Normal 4 6 2 3 4 3 2" xfId="14451" xr:uid="{F3365B5B-477A-40A1-A50E-B81066DAF5C9}"/>
    <cellStyle name="Normal 4 6 2 3 4 4" xfId="10233" xr:uid="{3844D5AC-69CF-435D-90ED-282EE0D58D18}"/>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32D4E8F6-A2E9-48B3-9C3D-0E592FCC1B9B}"/>
    <cellStyle name="Normal 4 6 2 3 5 2 3" xfId="12791" xr:uid="{5D05602B-B9B8-4869-A314-BAC40B07C3FE}"/>
    <cellStyle name="Normal 4 6 2 3 5 3" xfId="6425" xr:uid="{00000000-0005-0000-0000-00003C160000}"/>
    <cellStyle name="Normal 4 6 2 3 5 3 2" xfId="14864" xr:uid="{E55316F6-2207-464B-9A4A-0ABA2D2EF91F}"/>
    <cellStyle name="Normal 4 6 2 3 5 4" xfId="10646" xr:uid="{EDB3994D-9773-4035-8D66-953E15FEA171}"/>
    <cellStyle name="Normal 4 6 2 3 6" xfId="2554" xr:uid="{00000000-0005-0000-0000-00003D160000}"/>
    <cellStyle name="Normal 4 6 2 3 6 2" xfId="6838" xr:uid="{00000000-0005-0000-0000-00003E160000}"/>
    <cellStyle name="Normal 4 6 2 3 6 2 2" xfId="15277" xr:uid="{4C9D292F-9387-48C4-8C93-B2933D2B8C35}"/>
    <cellStyle name="Normal 4 6 2 3 6 3" xfId="11059" xr:uid="{A390D122-DB32-4B8B-A158-4F86AF6F25B1}"/>
    <cellStyle name="Normal 4 6 2 3 7" xfId="4773" xr:uid="{00000000-0005-0000-0000-00003F160000}"/>
    <cellStyle name="Normal 4 6 2 3 7 2" xfId="13212" xr:uid="{F76EF0F1-16EE-47C3-B628-8FCFC0F371B1}"/>
    <cellStyle name="Normal 4 6 2 3 8" xfId="8994" xr:uid="{99557066-F8C9-4A8F-B8FA-BCA7E0BD2050}"/>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8CCA9345-DF53-4C66-8CD2-99A6D531EB64}"/>
    <cellStyle name="Normal 4 6 2 4 2 3" xfId="11549" xr:uid="{75408E86-923C-419B-8A75-CDE8063F9864}"/>
    <cellStyle name="Normal 4 6 2 4 3" xfId="5183" xr:uid="{00000000-0005-0000-0000-000043160000}"/>
    <cellStyle name="Normal 4 6 2 4 3 2" xfId="13622" xr:uid="{B56BDE89-DADC-4B15-97EB-C3CCFA8C87AC}"/>
    <cellStyle name="Normal 4 6 2 4 4" xfId="9404" xr:uid="{FB0F5548-2140-408E-9701-B8C928AB463D}"/>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D794D55B-09C9-4339-AAF7-326B133900CF}"/>
    <cellStyle name="Normal 4 6 2 5 2 3" xfId="11962" xr:uid="{41E0FDE0-B099-4DC7-880E-E5A186DE5216}"/>
    <cellStyle name="Normal 4 6 2 5 3" xfId="5596" xr:uid="{00000000-0005-0000-0000-000047160000}"/>
    <cellStyle name="Normal 4 6 2 5 3 2" xfId="14035" xr:uid="{EF280AF0-4622-4751-AC9B-4AFFB39C2360}"/>
    <cellStyle name="Normal 4 6 2 5 4" xfId="9817" xr:uid="{8D29D896-05AB-48DB-B056-836A1331AD3A}"/>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27DA7568-634F-45B0-BAE4-38EA1D9B7C30}"/>
    <cellStyle name="Normal 4 6 2 6 2 3" xfId="12375" xr:uid="{74B25937-4AB8-4A7D-B6F4-2D640CBF8268}"/>
    <cellStyle name="Normal 4 6 2 6 3" xfId="6009" xr:uid="{00000000-0005-0000-0000-00004B160000}"/>
    <cellStyle name="Normal 4 6 2 6 3 2" xfId="14448" xr:uid="{5644D9C1-8C69-4954-8BCC-C0D20AE289F8}"/>
    <cellStyle name="Normal 4 6 2 6 4" xfId="10230" xr:uid="{97EAB49D-9F48-4728-8EFA-460108355A5D}"/>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D006A809-F516-4284-9E8F-D19E1219D91C}"/>
    <cellStyle name="Normal 4 6 2 7 2 3" xfId="12788" xr:uid="{F18F5038-131B-48DE-8C62-7367B0437E6D}"/>
    <cellStyle name="Normal 4 6 2 7 3" xfId="6422" xr:uid="{00000000-0005-0000-0000-00004F160000}"/>
    <cellStyle name="Normal 4 6 2 7 3 2" xfId="14861" xr:uid="{BE39F42F-4329-4195-A5A0-6C9A99D63904}"/>
    <cellStyle name="Normal 4 6 2 7 4" xfId="10643" xr:uid="{F1541266-EE10-4D57-A281-30C2C0D279F0}"/>
    <cellStyle name="Normal 4 6 2 8" xfId="2551" xr:uid="{00000000-0005-0000-0000-000050160000}"/>
    <cellStyle name="Normal 4 6 2 8 2" xfId="6835" xr:uid="{00000000-0005-0000-0000-000051160000}"/>
    <cellStyle name="Normal 4 6 2 8 2 2" xfId="15274" xr:uid="{1EE9C3CD-8ED6-4DDC-897A-2AEED403C0F4}"/>
    <cellStyle name="Normal 4 6 2 8 3" xfId="11056" xr:uid="{9D5209F6-98CC-4854-B874-7208492BB160}"/>
    <cellStyle name="Normal 4 6 2 9" xfId="4770" xr:uid="{00000000-0005-0000-0000-000052160000}"/>
    <cellStyle name="Normal 4 6 2 9 2" xfId="13209" xr:uid="{2A9E2D40-98AB-4CC1-A3B1-ECB72646F8CA}"/>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BD1FA6B9-9763-4BE7-9DE7-FD3574B39414}"/>
    <cellStyle name="Normal 4 6 3 2 2 2 3" xfId="11554" xr:uid="{6D36DE8F-E83A-497F-9670-915266DD9889}"/>
    <cellStyle name="Normal 4 6 3 2 2 3" xfId="5188" xr:uid="{00000000-0005-0000-0000-000058160000}"/>
    <cellStyle name="Normal 4 6 3 2 2 3 2" xfId="13627" xr:uid="{FBC83668-FBDF-4E75-82B8-1F9314DC4BF6}"/>
    <cellStyle name="Normal 4 6 3 2 2 4" xfId="9409" xr:uid="{D9B03198-C7F2-48D2-9774-36FE22C9E373}"/>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98D4D22F-8881-4C4F-B1B9-273A2FC59575}"/>
    <cellStyle name="Normal 4 6 3 2 3 2 3" xfId="11967" xr:uid="{792595A5-F2DF-4922-84B7-87A188387A37}"/>
    <cellStyle name="Normal 4 6 3 2 3 3" xfId="5601" xr:uid="{00000000-0005-0000-0000-00005C160000}"/>
    <cellStyle name="Normal 4 6 3 2 3 3 2" xfId="14040" xr:uid="{75344EE2-AC43-4876-89DE-867943F80AD8}"/>
    <cellStyle name="Normal 4 6 3 2 3 4" xfId="9822" xr:uid="{18C66DC8-A3AF-446A-9B9E-28BFD2EAB7AC}"/>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27CDFF66-D9D2-4DE0-9EB8-44C06F35288D}"/>
    <cellStyle name="Normal 4 6 3 2 4 2 3" xfId="12380" xr:uid="{23370A93-8A9D-454B-96BF-7F792FC74885}"/>
    <cellStyle name="Normal 4 6 3 2 4 3" xfId="6014" xr:uid="{00000000-0005-0000-0000-000060160000}"/>
    <cellStyle name="Normal 4 6 3 2 4 3 2" xfId="14453" xr:uid="{4930052D-B49B-4DDF-95CF-9A13B88D0960}"/>
    <cellStyle name="Normal 4 6 3 2 4 4" xfId="10235" xr:uid="{FF1686F0-C837-4208-A758-7E8668AB563F}"/>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C67CB703-5ED4-407F-A072-7035059A8E6C}"/>
    <cellStyle name="Normal 4 6 3 2 5 2 3" xfId="12793" xr:uid="{89B94A6A-5FD9-44C1-8D8F-5BE70F8D4414}"/>
    <cellStyle name="Normal 4 6 3 2 5 3" xfId="6427" xr:uid="{00000000-0005-0000-0000-000064160000}"/>
    <cellStyle name="Normal 4 6 3 2 5 3 2" xfId="14866" xr:uid="{FA1F28CD-0724-4263-B3C4-79CB9690AF49}"/>
    <cellStyle name="Normal 4 6 3 2 5 4" xfId="10648" xr:uid="{26EC6C8E-B59D-4B02-82BD-6C609553E899}"/>
    <cellStyle name="Normal 4 6 3 2 6" xfId="2556" xr:uid="{00000000-0005-0000-0000-000065160000}"/>
    <cellStyle name="Normal 4 6 3 2 6 2" xfId="6840" xr:uid="{00000000-0005-0000-0000-000066160000}"/>
    <cellStyle name="Normal 4 6 3 2 6 2 2" xfId="15279" xr:uid="{7FA891B0-ECBC-4B93-872F-D13A54D59287}"/>
    <cellStyle name="Normal 4 6 3 2 6 3" xfId="11061" xr:uid="{19C42145-2582-411F-B3F6-6F8B504D2B88}"/>
    <cellStyle name="Normal 4 6 3 2 7" xfId="4775" xr:uid="{00000000-0005-0000-0000-000067160000}"/>
    <cellStyle name="Normal 4 6 3 2 7 2" xfId="13214" xr:uid="{3160B508-1F84-4467-8586-7FB6E21C6FD9}"/>
    <cellStyle name="Normal 4 6 3 2 8" xfId="8996" xr:uid="{D484441C-4B49-40C3-BCD7-374BBFD460DC}"/>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3E587AC5-6A88-40A8-A3F5-F64B6F3F8331}"/>
    <cellStyle name="Normal 4 6 3 3 2 3" xfId="11553" xr:uid="{E54C19F6-3CEF-438B-A438-35C0079E2CB9}"/>
    <cellStyle name="Normal 4 6 3 3 3" xfId="5187" xr:uid="{00000000-0005-0000-0000-00006B160000}"/>
    <cellStyle name="Normal 4 6 3 3 3 2" xfId="13626" xr:uid="{BC5E5A0A-4DBA-414B-A352-DDC84447F776}"/>
    <cellStyle name="Normal 4 6 3 3 4" xfId="9408" xr:uid="{8ABBFB63-E225-4F65-BBDE-CF09DD34017A}"/>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EE464F52-3DC1-443C-906B-BE44B4F90333}"/>
    <cellStyle name="Normal 4 6 3 4 2 3" xfId="11966" xr:uid="{01FC42B3-C638-443A-8162-B8187B7E8BE2}"/>
    <cellStyle name="Normal 4 6 3 4 3" xfId="5600" xr:uid="{00000000-0005-0000-0000-00006F160000}"/>
    <cellStyle name="Normal 4 6 3 4 3 2" xfId="14039" xr:uid="{A57B51B9-D456-4E91-8DF3-8CDD7135381A}"/>
    <cellStyle name="Normal 4 6 3 4 4" xfId="9821" xr:uid="{AE748739-24CA-4D63-8D6A-0709D0A07911}"/>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054D4A3F-7F8B-499C-8DC6-197652904865}"/>
    <cellStyle name="Normal 4 6 3 5 2 3" xfId="12379" xr:uid="{EAEF05AD-FDBA-469D-B3D8-51E4B668A993}"/>
    <cellStyle name="Normal 4 6 3 5 3" xfId="6013" xr:uid="{00000000-0005-0000-0000-000073160000}"/>
    <cellStyle name="Normal 4 6 3 5 3 2" xfId="14452" xr:uid="{ED2BC5CC-1BF3-4726-9645-C24418B57D09}"/>
    <cellStyle name="Normal 4 6 3 5 4" xfId="10234" xr:uid="{56716865-D0C2-4153-8A6B-04F9CBD5BC2F}"/>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802E675D-A204-4185-8671-AFF7A0D838C4}"/>
    <cellStyle name="Normal 4 6 3 6 2 3" xfId="12792" xr:uid="{17ED7C02-2581-4D42-A7F7-B64CAF85746E}"/>
    <cellStyle name="Normal 4 6 3 6 3" xfId="6426" xr:uid="{00000000-0005-0000-0000-000077160000}"/>
    <cellStyle name="Normal 4 6 3 6 3 2" xfId="14865" xr:uid="{3CB53062-880E-4719-980B-4D67FC37C04D}"/>
    <cellStyle name="Normal 4 6 3 6 4" xfId="10647" xr:uid="{EFDC7BDE-EC64-45F9-B5DA-F648E2760FB6}"/>
    <cellStyle name="Normal 4 6 3 7" xfId="2555" xr:uid="{00000000-0005-0000-0000-000078160000}"/>
    <cellStyle name="Normal 4 6 3 7 2" xfId="6839" xr:uid="{00000000-0005-0000-0000-000079160000}"/>
    <cellStyle name="Normal 4 6 3 7 2 2" xfId="15278" xr:uid="{2740AB77-1D5B-49A3-92B5-1393FA91F55F}"/>
    <cellStyle name="Normal 4 6 3 7 3" xfId="11060" xr:uid="{F2B289BB-4651-4947-B208-C7B723B7D1AC}"/>
    <cellStyle name="Normal 4 6 3 8" xfId="4774" xr:uid="{00000000-0005-0000-0000-00007A160000}"/>
    <cellStyle name="Normal 4 6 3 8 2" xfId="13213" xr:uid="{B7FC6035-ACE4-4FF6-B1E5-A7E3264940F2}"/>
    <cellStyle name="Normal 4 6 3 9" xfId="8995" xr:uid="{8969BD5D-0F59-4B24-B17B-52697E0F068A}"/>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526EE0DE-6A97-4B3B-B565-063E60700CE2}"/>
    <cellStyle name="Normal 4 6 4 2 2 3" xfId="11555" xr:uid="{1BF97D0E-0E39-4705-8E1F-AABC943A5C0B}"/>
    <cellStyle name="Normal 4 6 4 2 3" xfId="5189" xr:uid="{00000000-0005-0000-0000-00007F160000}"/>
    <cellStyle name="Normal 4 6 4 2 3 2" xfId="13628" xr:uid="{CA35FFDD-27F0-4228-88B8-99D6293FA45C}"/>
    <cellStyle name="Normal 4 6 4 2 4" xfId="9410" xr:uid="{DAB0A2EC-D81B-4D16-A468-D2493C7CBB58}"/>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9E7C4A8A-E22F-4EF1-81D2-090CEFF79E40}"/>
    <cellStyle name="Normal 4 6 4 3 2 3" xfId="11968" xr:uid="{885F79B6-8B0F-4403-BBE7-648A76F6E015}"/>
    <cellStyle name="Normal 4 6 4 3 3" xfId="5602" xr:uid="{00000000-0005-0000-0000-000083160000}"/>
    <cellStyle name="Normal 4 6 4 3 3 2" xfId="14041" xr:uid="{49A2EF5A-ABDE-43F0-AA6A-D6AF9A2FDE88}"/>
    <cellStyle name="Normal 4 6 4 3 4" xfId="9823" xr:uid="{E436495F-7C4C-45FF-A4C8-4947E6912665}"/>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1D2E7086-308B-42FA-B119-E02016742E97}"/>
    <cellStyle name="Normal 4 6 4 4 2 3" xfId="12381" xr:uid="{3C8DC430-E701-436C-B56B-E8387CD6381A}"/>
    <cellStyle name="Normal 4 6 4 4 3" xfId="6015" xr:uid="{00000000-0005-0000-0000-000087160000}"/>
    <cellStyle name="Normal 4 6 4 4 3 2" xfId="14454" xr:uid="{34584E3C-A554-45B8-A886-D233C485FDD0}"/>
    <cellStyle name="Normal 4 6 4 4 4" xfId="10236" xr:uid="{99E0CE02-1E15-4227-B47F-44AA5A1E2E23}"/>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DE289A62-14C2-44CA-BA3E-0B8BE95A1C50}"/>
    <cellStyle name="Normal 4 6 4 5 2 3" xfId="12794" xr:uid="{15259B67-D9A8-4EA0-9452-968A70453DEF}"/>
    <cellStyle name="Normal 4 6 4 5 3" xfId="6428" xr:uid="{00000000-0005-0000-0000-00008B160000}"/>
    <cellStyle name="Normal 4 6 4 5 3 2" xfId="14867" xr:uid="{AF893127-6AAE-401F-9BB0-C9FBAA323C14}"/>
    <cellStyle name="Normal 4 6 4 5 4" xfId="10649" xr:uid="{BFD7B482-60C9-4B17-932F-2B1ED3FE0473}"/>
    <cellStyle name="Normal 4 6 4 6" xfId="2557" xr:uid="{00000000-0005-0000-0000-00008C160000}"/>
    <cellStyle name="Normal 4 6 4 6 2" xfId="6841" xr:uid="{00000000-0005-0000-0000-00008D160000}"/>
    <cellStyle name="Normal 4 6 4 6 2 2" xfId="15280" xr:uid="{51891B28-CAC4-4721-A5B8-B9B8C5C6EF84}"/>
    <cellStyle name="Normal 4 6 4 6 3" xfId="11062" xr:uid="{D92367D4-B1C9-474C-B1E6-3FEE21CCE1EE}"/>
    <cellStyle name="Normal 4 6 4 7" xfId="4776" xr:uid="{00000000-0005-0000-0000-00008E160000}"/>
    <cellStyle name="Normal 4 6 4 7 2" xfId="13215" xr:uid="{34309B8B-80A8-4AFB-A5DE-3E318D358F14}"/>
    <cellStyle name="Normal 4 6 4 8" xfId="8997" xr:uid="{F81FDC10-2DD1-4C12-99A0-9DE1D142FD8C}"/>
    <cellStyle name="Normal 4 6 5" xfId="869" xr:uid="{00000000-0005-0000-0000-00008F160000}"/>
    <cellStyle name="Normal 4 6 5 2" xfId="3104" xr:uid="{00000000-0005-0000-0000-000090160000}"/>
    <cellStyle name="Normal 4 6 5 2 2" xfId="7327" xr:uid="{00000000-0005-0000-0000-000091160000}"/>
    <cellStyle name="Normal 4 6 5 2 2 2" xfId="15766" xr:uid="{BDBD27A9-73B1-483F-922A-9112F7F097D8}"/>
    <cellStyle name="Normal 4 6 5 2 3" xfId="11548" xr:uid="{A9F1671A-A71C-4E6C-9F53-5C435970FBBB}"/>
    <cellStyle name="Normal 4 6 5 3" xfId="5182" xr:uid="{00000000-0005-0000-0000-000092160000}"/>
    <cellStyle name="Normal 4 6 5 3 2" xfId="13621" xr:uid="{2EC5242A-404B-445A-B2AF-B9F061B4135C}"/>
    <cellStyle name="Normal 4 6 5 4" xfId="9403" xr:uid="{C688C6C1-E873-4191-AAFF-673403CC23C3}"/>
    <cellStyle name="Normal 4 6 6" xfId="1287" xr:uid="{00000000-0005-0000-0000-000093160000}"/>
    <cellStyle name="Normal 4 6 6 2" xfId="3517" xr:uid="{00000000-0005-0000-0000-000094160000}"/>
    <cellStyle name="Normal 4 6 6 2 2" xfId="7740" xr:uid="{00000000-0005-0000-0000-000095160000}"/>
    <cellStyle name="Normal 4 6 6 2 2 2" xfId="16179" xr:uid="{5A08CB31-5D9D-483B-BC88-DEECC7404D7D}"/>
    <cellStyle name="Normal 4 6 6 2 3" xfId="11961" xr:uid="{F9BFD140-A10F-4B8A-8D03-40F317E666A3}"/>
    <cellStyle name="Normal 4 6 6 3" xfId="5595" xr:uid="{00000000-0005-0000-0000-000096160000}"/>
    <cellStyle name="Normal 4 6 6 3 2" xfId="14034" xr:uid="{FFEB7109-913D-42CB-8401-940ED82771D3}"/>
    <cellStyle name="Normal 4 6 6 4" xfId="9816" xr:uid="{E02B6A15-A68D-4603-AE57-BD3E4492093F}"/>
    <cellStyle name="Normal 4 6 7" xfId="1700" xr:uid="{00000000-0005-0000-0000-000097160000}"/>
    <cellStyle name="Normal 4 6 7 2" xfId="3930" xr:uid="{00000000-0005-0000-0000-000098160000}"/>
    <cellStyle name="Normal 4 6 7 2 2" xfId="8153" xr:uid="{00000000-0005-0000-0000-000099160000}"/>
    <cellStyle name="Normal 4 6 7 2 2 2" xfId="16592" xr:uid="{9048C44B-3F17-478F-8E44-B76615412331}"/>
    <cellStyle name="Normal 4 6 7 2 3" xfId="12374" xr:uid="{BFDA3852-4FE0-480D-B5FB-A0F47A6107B9}"/>
    <cellStyle name="Normal 4 6 7 3" xfId="6008" xr:uid="{00000000-0005-0000-0000-00009A160000}"/>
    <cellStyle name="Normal 4 6 7 3 2" xfId="14447" xr:uid="{7C5A32A3-552A-465E-9430-55D572464FC2}"/>
    <cellStyle name="Normal 4 6 7 4" xfId="10229" xr:uid="{342815F2-CBD1-40F9-B8EB-B43C1033DC39}"/>
    <cellStyle name="Normal 4 6 8" xfId="2114" xr:uid="{00000000-0005-0000-0000-00009B160000}"/>
    <cellStyle name="Normal 4 6 8 2" xfId="4343" xr:uid="{00000000-0005-0000-0000-00009C160000}"/>
    <cellStyle name="Normal 4 6 8 2 2" xfId="8566" xr:uid="{00000000-0005-0000-0000-00009D160000}"/>
    <cellStyle name="Normal 4 6 8 2 2 2" xfId="17005" xr:uid="{C558BF5A-C738-44F9-894C-8C776EE3E700}"/>
    <cellStyle name="Normal 4 6 8 2 3" xfId="12787" xr:uid="{09C1475B-0A39-4B95-A847-626020AA39E2}"/>
    <cellStyle name="Normal 4 6 8 3" xfId="6421" xr:uid="{00000000-0005-0000-0000-00009E160000}"/>
    <cellStyle name="Normal 4 6 8 3 2" xfId="14860" xr:uid="{1B39F3B5-3909-4E27-8873-84F0F87A2322}"/>
    <cellStyle name="Normal 4 6 8 4" xfId="10642" xr:uid="{2FD53E11-7A65-4CBE-A6E3-8937922D26FD}"/>
    <cellStyle name="Normal 4 6 9" xfId="2550" xr:uid="{00000000-0005-0000-0000-00009F160000}"/>
    <cellStyle name="Normal 4 6 9 2" xfId="6834" xr:uid="{00000000-0005-0000-0000-0000A0160000}"/>
    <cellStyle name="Normal 4 6 9 2 2" xfId="15273" xr:uid="{F840DD22-6961-4F9B-9D91-C465564341DF}"/>
    <cellStyle name="Normal 4 6 9 3" xfId="11055" xr:uid="{DA00E467-A404-4F15-84D9-4BBDD1AC57C9}"/>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F1C4DD98-BB83-4ED5-A6CB-00F5A4006618}"/>
    <cellStyle name="Normal 4 7 2 2 2 3" xfId="11557" xr:uid="{88793C24-AEA6-4766-8EB1-01920AD01D40}"/>
    <cellStyle name="Normal 4 7 2 2 3" xfId="5191" xr:uid="{00000000-0005-0000-0000-0000A6160000}"/>
    <cellStyle name="Normal 4 7 2 2 3 2" xfId="13630" xr:uid="{88A6A107-720A-4454-9C17-55CE8BC8C44A}"/>
    <cellStyle name="Normal 4 7 2 2 4" xfId="9412" xr:uid="{B7468198-71B4-4E19-BC7E-21B6845920FA}"/>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F3FA6200-5AB9-49D7-B4EA-74C975FE28E8}"/>
    <cellStyle name="Normal 4 7 2 3 2 3" xfId="11970" xr:uid="{BF0F3C5C-C5D5-4561-A428-64C9B9A6F1AA}"/>
    <cellStyle name="Normal 4 7 2 3 3" xfId="5604" xr:uid="{00000000-0005-0000-0000-0000AA160000}"/>
    <cellStyle name="Normal 4 7 2 3 3 2" xfId="14043" xr:uid="{2F56E1A4-AC3E-4AED-8C70-D0B19E62C8AF}"/>
    <cellStyle name="Normal 4 7 2 3 4" xfId="9825" xr:uid="{DCB79A48-4D23-486A-8001-E06025D64839}"/>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4DC82C87-BD30-4F45-885F-96EAC5037EE7}"/>
    <cellStyle name="Normal 4 7 2 4 2 3" xfId="12383" xr:uid="{E9DB5AB3-6AF4-4B74-8A77-D0D38D3FA00E}"/>
    <cellStyle name="Normal 4 7 2 4 3" xfId="6017" xr:uid="{00000000-0005-0000-0000-0000AE160000}"/>
    <cellStyle name="Normal 4 7 2 4 3 2" xfId="14456" xr:uid="{CB7A1FE0-BFBE-43C2-9504-71C553102E20}"/>
    <cellStyle name="Normal 4 7 2 4 4" xfId="10238" xr:uid="{4A08D065-FDAB-43C0-9395-BEE3038EC070}"/>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3CE2BA97-6DC0-470A-BC54-D8A447F21672}"/>
    <cellStyle name="Normal 4 7 2 5 2 3" xfId="12796" xr:uid="{A7F74D5F-AEBC-4AC4-A021-4D47DA4C6BBC}"/>
    <cellStyle name="Normal 4 7 2 5 3" xfId="6430" xr:uid="{00000000-0005-0000-0000-0000B2160000}"/>
    <cellStyle name="Normal 4 7 2 5 3 2" xfId="14869" xr:uid="{A1C42AC6-27F9-4326-A8C5-D2B640C4F96A}"/>
    <cellStyle name="Normal 4 7 2 5 4" xfId="10651" xr:uid="{04289063-46AF-4022-BA9F-15DAC980C034}"/>
    <cellStyle name="Normal 4 7 2 6" xfId="2559" xr:uid="{00000000-0005-0000-0000-0000B3160000}"/>
    <cellStyle name="Normal 4 7 2 6 2" xfId="6843" xr:uid="{00000000-0005-0000-0000-0000B4160000}"/>
    <cellStyle name="Normal 4 7 2 6 2 2" xfId="15282" xr:uid="{7E9E8982-1E26-44D3-9DDC-03D2D814E4CB}"/>
    <cellStyle name="Normal 4 7 2 6 3" xfId="11064" xr:uid="{2EBB20AC-0D48-42C3-BA9D-943EBB4592DB}"/>
    <cellStyle name="Normal 4 7 2 7" xfId="4778" xr:uid="{00000000-0005-0000-0000-0000B5160000}"/>
    <cellStyle name="Normal 4 7 2 7 2" xfId="13217" xr:uid="{8EF16DB1-34A8-4C19-8491-EB9AB590E3E6}"/>
    <cellStyle name="Normal 4 7 2 8" xfId="8999" xr:uid="{A69746DA-156D-46C4-8258-1A470051B1A4}"/>
    <cellStyle name="Normal 4 7 3" xfId="877" xr:uid="{00000000-0005-0000-0000-0000B6160000}"/>
    <cellStyle name="Normal 4 7 3 2" xfId="3112" xr:uid="{00000000-0005-0000-0000-0000B7160000}"/>
    <cellStyle name="Normal 4 7 3 2 2" xfId="7335" xr:uid="{00000000-0005-0000-0000-0000B8160000}"/>
    <cellStyle name="Normal 4 7 3 2 2 2" xfId="15774" xr:uid="{2EDDEAA1-5C57-47FC-91E4-AE60214B7829}"/>
    <cellStyle name="Normal 4 7 3 2 3" xfId="11556" xr:uid="{2ACF6B04-29A7-4FB3-B5C7-4E663258F014}"/>
    <cellStyle name="Normal 4 7 3 3" xfId="5190" xr:uid="{00000000-0005-0000-0000-0000B9160000}"/>
    <cellStyle name="Normal 4 7 3 3 2" xfId="13629" xr:uid="{114F6C63-9ABD-45F3-916D-4430A364AC4D}"/>
    <cellStyle name="Normal 4 7 3 4" xfId="9411" xr:uid="{65E78D46-3B22-4975-A297-D474423BE845}"/>
    <cellStyle name="Normal 4 7 4" xfId="1295" xr:uid="{00000000-0005-0000-0000-0000BA160000}"/>
    <cellStyle name="Normal 4 7 4 2" xfId="3525" xr:uid="{00000000-0005-0000-0000-0000BB160000}"/>
    <cellStyle name="Normal 4 7 4 2 2" xfId="7748" xr:uid="{00000000-0005-0000-0000-0000BC160000}"/>
    <cellStyle name="Normal 4 7 4 2 2 2" xfId="16187" xr:uid="{0DD9EA1D-7521-44A7-8677-7B3AEF4B191F}"/>
    <cellStyle name="Normal 4 7 4 2 3" xfId="11969" xr:uid="{94D730B2-CAF7-42F0-9055-F82ADDC6F2DB}"/>
    <cellStyle name="Normal 4 7 4 3" xfId="5603" xr:uid="{00000000-0005-0000-0000-0000BD160000}"/>
    <cellStyle name="Normal 4 7 4 3 2" xfId="14042" xr:uid="{1E7B1447-7E4B-4636-9105-D3E2C4B56CF9}"/>
    <cellStyle name="Normal 4 7 4 4" xfId="9824" xr:uid="{7E7F835F-7ECD-454F-93F0-38D4752F384E}"/>
    <cellStyle name="Normal 4 7 5" xfId="1708" xr:uid="{00000000-0005-0000-0000-0000BE160000}"/>
    <cellStyle name="Normal 4 7 5 2" xfId="3938" xr:uid="{00000000-0005-0000-0000-0000BF160000}"/>
    <cellStyle name="Normal 4 7 5 2 2" xfId="8161" xr:uid="{00000000-0005-0000-0000-0000C0160000}"/>
    <cellStyle name="Normal 4 7 5 2 2 2" xfId="16600" xr:uid="{6C85A508-67BC-4BDB-84CF-1E41C1FA4C46}"/>
    <cellStyle name="Normal 4 7 5 2 3" xfId="12382" xr:uid="{85036EAC-56C8-4C9C-B3C6-E932B28B093E}"/>
    <cellStyle name="Normal 4 7 5 3" xfId="6016" xr:uid="{00000000-0005-0000-0000-0000C1160000}"/>
    <cellStyle name="Normal 4 7 5 3 2" xfId="14455" xr:uid="{53088FF1-645C-46AB-A90E-18ADF2964922}"/>
    <cellStyle name="Normal 4 7 5 4" xfId="10237" xr:uid="{B3FA9130-C933-4098-8428-056886E42037}"/>
    <cellStyle name="Normal 4 7 6" xfId="2122" xr:uid="{00000000-0005-0000-0000-0000C2160000}"/>
    <cellStyle name="Normal 4 7 6 2" xfId="4351" xr:uid="{00000000-0005-0000-0000-0000C3160000}"/>
    <cellStyle name="Normal 4 7 6 2 2" xfId="8574" xr:uid="{00000000-0005-0000-0000-0000C4160000}"/>
    <cellStyle name="Normal 4 7 6 2 2 2" xfId="17013" xr:uid="{A0CBFC23-2DD2-4751-9496-21771156E3CE}"/>
    <cellStyle name="Normal 4 7 6 2 3" xfId="12795" xr:uid="{29CB0885-7AE2-437C-8054-03E7E3F3CC80}"/>
    <cellStyle name="Normal 4 7 6 3" xfId="6429" xr:uid="{00000000-0005-0000-0000-0000C5160000}"/>
    <cellStyle name="Normal 4 7 6 3 2" xfId="14868" xr:uid="{6CFD974C-C5F7-40E2-9B30-0B6CC416E8C6}"/>
    <cellStyle name="Normal 4 7 6 4" xfId="10650" xr:uid="{87468EC8-5166-4030-B122-6829D5A2E031}"/>
    <cellStyle name="Normal 4 7 7" xfId="2558" xr:uid="{00000000-0005-0000-0000-0000C6160000}"/>
    <cellStyle name="Normal 4 7 7 2" xfId="6842" xr:uid="{00000000-0005-0000-0000-0000C7160000}"/>
    <cellStyle name="Normal 4 7 7 2 2" xfId="15281" xr:uid="{073599A2-1A34-4584-B511-EE27051ADDB6}"/>
    <cellStyle name="Normal 4 7 7 3" xfId="11063" xr:uid="{0ECC4A51-6283-4DF8-8AD4-BF0E79AA5653}"/>
    <cellStyle name="Normal 4 7 8" xfId="4777" xr:uid="{00000000-0005-0000-0000-0000C8160000}"/>
    <cellStyle name="Normal 4 7 8 2" xfId="13216" xr:uid="{216A8D35-2EF6-4C7C-B7AF-E0905983B35D}"/>
    <cellStyle name="Normal 4 7 9" xfId="8998" xr:uid="{B7BA3684-F4EE-4169-B919-9F0D6C1CE19C}"/>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EAD3B0B3-2143-4211-B79E-9FF6AA7E5A14}"/>
    <cellStyle name="Normal 4 8 2 2 3" xfId="11558" xr:uid="{6F90A4E0-BDE7-4D9F-A181-84D0B6A492FB}"/>
    <cellStyle name="Normal 4 8 2 3" xfId="5192" xr:uid="{00000000-0005-0000-0000-0000CD160000}"/>
    <cellStyle name="Normal 4 8 2 3 2" xfId="13631" xr:uid="{0D04108E-F2A5-4CDB-AD23-6D154FDCCB5C}"/>
    <cellStyle name="Normal 4 8 2 4" xfId="9413" xr:uid="{7E7A10B0-AB1C-4342-BFA2-13514BDAE6B1}"/>
    <cellStyle name="Normal 4 8 3" xfId="1297" xr:uid="{00000000-0005-0000-0000-0000CE160000}"/>
    <cellStyle name="Normal 4 8 3 2" xfId="3527" xr:uid="{00000000-0005-0000-0000-0000CF160000}"/>
    <cellStyle name="Normal 4 8 3 2 2" xfId="7750" xr:uid="{00000000-0005-0000-0000-0000D0160000}"/>
    <cellStyle name="Normal 4 8 3 2 2 2" xfId="16189" xr:uid="{7BBC89BC-8D54-461E-B02B-4B36379C7B17}"/>
    <cellStyle name="Normal 4 8 3 2 3" xfId="11971" xr:uid="{49F18FB7-1B09-4A7E-B323-4934656A33D2}"/>
    <cellStyle name="Normal 4 8 3 3" xfId="5605" xr:uid="{00000000-0005-0000-0000-0000D1160000}"/>
    <cellStyle name="Normal 4 8 3 3 2" xfId="14044" xr:uid="{B5972117-BC3E-4E70-BD04-891662947044}"/>
    <cellStyle name="Normal 4 8 3 4" xfId="9826" xr:uid="{275F3E64-31B3-4B74-AC71-42D7D5D46338}"/>
    <cellStyle name="Normal 4 8 4" xfId="1710" xr:uid="{00000000-0005-0000-0000-0000D2160000}"/>
    <cellStyle name="Normal 4 8 4 2" xfId="3940" xr:uid="{00000000-0005-0000-0000-0000D3160000}"/>
    <cellStyle name="Normal 4 8 4 2 2" xfId="8163" xr:uid="{00000000-0005-0000-0000-0000D4160000}"/>
    <cellStyle name="Normal 4 8 4 2 2 2" xfId="16602" xr:uid="{42277836-5228-461D-ACFB-5106FCEA2F2D}"/>
    <cellStyle name="Normal 4 8 4 2 3" xfId="12384" xr:uid="{BCEB768D-E0BE-4F70-BE5E-A0F295722F98}"/>
    <cellStyle name="Normal 4 8 4 3" xfId="6018" xr:uid="{00000000-0005-0000-0000-0000D5160000}"/>
    <cellStyle name="Normal 4 8 4 3 2" xfId="14457" xr:uid="{D4702B07-9DF3-4E76-93C9-7878913B5E1F}"/>
    <cellStyle name="Normal 4 8 4 4" xfId="10239" xr:uid="{632F148E-881E-4062-A559-303C0CF1CB08}"/>
    <cellStyle name="Normal 4 8 5" xfId="2124" xr:uid="{00000000-0005-0000-0000-0000D6160000}"/>
    <cellStyle name="Normal 4 8 5 2" xfId="4353" xr:uid="{00000000-0005-0000-0000-0000D7160000}"/>
    <cellStyle name="Normal 4 8 5 2 2" xfId="8576" xr:uid="{00000000-0005-0000-0000-0000D8160000}"/>
    <cellStyle name="Normal 4 8 5 2 2 2" xfId="17015" xr:uid="{32B5B9A1-A595-46E4-837B-05F9AC6E1905}"/>
    <cellStyle name="Normal 4 8 5 2 3" xfId="12797" xr:uid="{161FB400-E6C8-4702-9899-B379F2E3ACC0}"/>
    <cellStyle name="Normal 4 8 5 3" xfId="6431" xr:uid="{00000000-0005-0000-0000-0000D9160000}"/>
    <cellStyle name="Normal 4 8 5 3 2" xfId="14870" xr:uid="{50E808D2-997B-402B-AAF1-62FA6BD6B065}"/>
    <cellStyle name="Normal 4 8 5 4" xfId="10652" xr:uid="{672581A8-45E1-494B-9896-18A85488882E}"/>
    <cellStyle name="Normal 4 8 6" xfId="2560" xr:uid="{00000000-0005-0000-0000-0000DA160000}"/>
    <cellStyle name="Normal 4 8 6 2" xfId="6844" xr:uid="{00000000-0005-0000-0000-0000DB160000}"/>
    <cellStyle name="Normal 4 8 6 2 2" xfId="15283" xr:uid="{0C3FED9E-F65B-4527-9FFD-D4E88CEAD120}"/>
    <cellStyle name="Normal 4 8 6 3" xfId="11065" xr:uid="{79913966-15AE-4F71-AE9B-F88E34D1CB57}"/>
    <cellStyle name="Normal 4 8 7" xfId="4779" xr:uid="{00000000-0005-0000-0000-0000DC160000}"/>
    <cellStyle name="Normal 4 8 7 2" xfId="13218" xr:uid="{204D6B95-24E2-4151-9C2C-B432235C85A2}"/>
    <cellStyle name="Normal 4 8 8" xfId="9000" xr:uid="{3B039920-2991-4183-95F2-B1776665A7C3}"/>
    <cellStyle name="Normal 4 9" xfId="4716" xr:uid="{00000000-0005-0000-0000-0000DD160000}"/>
    <cellStyle name="Normal 4 9 2" xfId="13155" xr:uid="{4EFDFCEB-B28A-4413-A0CA-EB75B2F9422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4ED7F56B-FCC5-4D46-9B0A-14A46D749A55}"/>
    <cellStyle name="Normal 5 10 2 3" xfId="12385" xr:uid="{220EC84E-161A-4123-B8E4-DF680018DB9D}"/>
    <cellStyle name="Normal 5 10 3" xfId="6019" xr:uid="{00000000-0005-0000-0000-0000E2160000}"/>
    <cellStyle name="Normal 5 10 3 2" xfId="14458" xr:uid="{6501F35A-2B5C-4CBA-AF83-BC9FC6A144AC}"/>
    <cellStyle name="Normal 5 10 4" xfId="10240" xr:uid="{F53881EA-FBEC-419B-B8A8-47A685A8E4A4}"/>
    <cellStyle name="Normal 5 11" xfId="2125" xr:uid="{00000000-0005-0000-0000-0000E3160000}"/>
    <cellStyle name="Normal 5 11 2" xfId="4354" xr:uid="{00000000-0005-0000-0000-0000E4160000}"/>
    <cellStyle name="Normal 5 11 2 2" xfId="8577" xr:uid="{00000000-0005-0000-0000-0000E5160000}"/>
    <cellStyle name="Normal 5 11 2 2 2" xfId="17016" xr:uid="{6EE88D9C-17F5-45E3-9942-101E285AD309}"/>
    <cellStyle name="Normal 5 11 2 3" xfId="12798" xr:uid="{85BB4126-1EA4-408F-8934-9158EFE8641A}"/>
    <cellStyle name="Normal 5 11 3" xfId="6432" xr:uid="{00000000-0005-0000-0000-0000E6160000}"/>
    <cellStyle name="Normal 5 11 3 2" xfId="14871" xr:uid="{1958FCFF-9EC7-4C61-94CD-5EBAF5ED549A}"/>
    <cellStyle name="Normal 5 11 4" xfId="10653" xr:uid="{AD2F973F-4A3A-41DA-A094-A4C11A174547}"/>
    <cellStyle name="Normal 5 12" xfId="2561" xr:uid="{00000000-0005-0000-0000-0000E7160000}"/>
    <cellStyle name="Normal 5 12 2" xfId="6845" xr:uid="{00000000-0005-0000-0000-0000E8160000}"/>
    <cellStyle name="Normal 5 12 2 2" xfId="15284" xr:uid="{4796C728-9323-4013-B72F-95C498BEF09B}"/>
    <cellStyle name="Normal 5 12 3" xfId="11066" xr:uid="{E4559D6B-D383-4E0C-A2E1-BC7A4D295780}"/>
    <cellStyle name="Normal 5 13" xfId="4780" xr:uid="{00000000-0005-0000-0000-0000E9160000}"/>
    <cellStyle name="Normal 5 13 2" xfId="13219" xr:uid="{CDA8A363-11AE-4BBE-84C3-676F9C15ED81}"/>
    <cellStyle name="Normal 5 14" xfId="9001" xr:uid="{40A0AE22-B3DD-4C64-A26F-8C158E740BC7}"/>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4B33D3E1-FB57-44AA-8C7B-F798C518FBB4}"/>
    <cellStyle name="Normal 5 2 10 2 3" xfId="12799" xr:uid="{FF7F5475-9C3B-4C33-8ACF-B7E4FE74A45F}"/>
    <cellStyle name="Normal 5 2 10 3" xfId="6433" xr:uid="{00000000-0005-0000-0000-0000EE160000}"/>
    <cellStyle name="Normal 5 2 10 3 2" xfId="14872" xr:uid="{15292695-A451-4B20-98DC-4BA4505D4D95}"/>
    <cellStyle name="Normal 5 2 10 4" xfId="10654" xr:uid="{ADA0CBA7-4F52-443C-94C7-420D7AEEFF3B}"/>
    <cellStyle name="Normal 5 2 11" xfId="2562" xr:uid="{00000000-0005-0000-0000-0000EF160000}"/>
    <cellStyle name="Normal 5 2 11 2" xfId="6846" xr:uid="{00000000-0005-0000-0000-0000F0160000}"/>
    <cellStyle name="Normal 5 2 11 2 2" xfId="15285" xr:uid="{A80E4456-22E5-4734-ADC2-58BA7A21F49C}"/>
    <cellStyle name="Normal 5 2 11 3" xfId="11067" xr:uid="{C573E06A-CAA8-4136-955B-095D43EE6B18}"/>
    <cellStyle name="Normal 5 2 12" xfId="4781" xr:uid="{00000000-0005-0000-0000-0000F1160000}"/>
    <cellStyle name="Normal 5 2 12 2" xfId="13220" xr:uid="{4455EBBA-1DC9-4386-B3BE-6D691DD78EB0}"/>
    <cellStyle name="Normal 5 2 13" xfId="9002" xr:uid="{AFD8FFCA-30C4-45A3-81FA-ABB1C524A2AF}"/>
    <cellStyle name="Normal 5 2 2" xfId="408" xr:uid="{00000000-0005-0000-0000-0000F2160000}"/>
    <cellStyle name="Normal 5 2 2 10" xfId="2563" xr:uid="{00000000-0005-0000-0000-0000F3160000}"/>
    <cellStyle name="Normal 5 2 2 10 2" xfId="6847" xr:uid="{00000000-0005-0000-0000-0000F4160000}"/>
    <cellStyle name="Normal 5 2 2 10 2 2" xfId="15286" xr:uid="{734B5814-C0AB-4CBC-A2B1-DE34B9BDA502}"/>
    <cellStyle name="Normal 5 2 2 10 3" xfId="11068" xr:uid="{DD0EA36F-93AA-44C6-A7A1-702836300A3A}"/>
    <cellStyle name="Normal 5 2 2 11" xfId="4782" xr:uid="{00000000-0005-0000-0000-0000F5160000}"/>
    <cellStyle name="Normal 5 2 2 11 2" xfId="13221" xr:uid="{0858B9E7-A288-40F6-A1A1-0607F8F79EE9}"/>
    <cellStyle name="Normal 5 2 2 12" xfId="9003" xr:uid="{552743C1-C9AB-4211-A9C7-99DEE6AD8CA1}"/>
    <cellStyle name="Normal 5 2 2 2" xfId="409" xr:uid="{00000000-0005-0000-0000-0000F6160000}"/>
    <cellStyle name="Normal 5 2 2 2 10" xfId="4783" xr:uid="{00000000-0005-0000-0000-0000F7160000}"/>
    <cellStyle name="Normal 5 2 2 2 10 2" xfId="13222" xr:uid="{B15AE580-17E3-41CE-B436-5D9B92169105}"/>
    <cellStyle name="Normal 5 2 2 2 11" xfId="9004" xr:uid="{413852B7-782D-483C-B0E0-F3A50EEA42B4}"/>
    <cellStyle name="Normal 5 2 2 2 2" xfId="410" xr:uid="{00000000-0005-0000-0000-0000F8160000}"/>
    <cellStyle name="Normal 5 2 2 2 2 10" xfId="9005" xr:uid="{8CB4A806-0A6E-4603-88E7-1131A413088B}"/>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EE852012-1766-4E18-BD5F-550D4891E9DD}"/>
    <cellStyle name="Normal 5 2 2 2 2 2 2 2 2 3" xfId="11565" xr:uid="{0C2F0BA9-582B-4F7F-835D-745A87FC5912}"/>
    <cellStyle name="Normal 5 2 2 2 2 2 2 2 3" xfId="5199" xr:uid="{00000000-0005-0000-0000-0000FE160000}"/>
    <cellStyle name="Normal 5 2 2 2 2 2 2 2 3 2" xfId="13638" xr:uid="{6D8B6ECC-E4B7-455E-93D7-2338ED874D4C}"/>
    <cellStyle name="Normal 5 2 2 2 2 2 2 2 4" xfId="9420" xr:uid="{EBD58C0C-CA36-4D45-95CA-A5FCB35957AE}"/>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DC17A150-710C-43D9-9FFD-E9BD7C80D7AF}"/>
    <cellStyle name="Normal 5 2 2 2 2 2 2 3 2 3" xfId="11978" xr:uid="{000AB84D-C772-47B9-B329-15641DF4373B}"/>
    <cellStyle name="Normal 5 2 2 2 2 2 2 3 3" xfId="5612" xr:uid="{00000000-0005-0000-0000-000002170000}"/>
    <cellStyle name="Normal 5 2 2 2 2 2 2 3 3 2" xfId="14051" xr:uid="{F9353AFB-91F9-4CCC-BEC0-3FE263EF7FB4}"/>
    <cellStyle name="Normal 5 2 2 2 2 2 2 3 4" xfId="9833" xr:uid="{C6F8C120-387A-4958-B7A8-2FB4C5004ACA}"/>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D0E8D8E9-F1F7-4485-BD7A-71279F347628}"/>
    <cellStyle name="Normal 5 2 2 2 2 2 2 4 2 3" xfId="12391" xr:uid="{21D018A5-E730-4683-BC76-7F443FEEDEFB}"/>
    <cellStyle name="Normal 5 2 2 2 2 2 2 4 3" xfId="6025" xr:uid="{00000000-0005-0000-0000-000006170000}"/>
    <cellStyle name="Normal 5 2 2 2 2 2 2 4 3 2" xfId="14464" xr:uid="{9F61ABFE-03DB-48F8-A4AF-63D9DEEC32AC}"/>
    <cellStyle name="Normal 5 2 2 2 2 2 2 4 4" xfId="10246" xr:uid="{7A66C3A6-2A9F-4472-9A54-966A8AD4142E}"/>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3B0C9226-80F2-41FE-A70C-1F1916E7409D}"/>
    <cellStyle name="Normal 5 2 2 2 2 2 2 5 2 3" xfId="12804" xr:uid="{F40B8175-BCEB-4A1B-96EE-D1BA404D1800}"/>
    <cellStyle name="Normal 5 2 2 2 2 2 2 5 3" xfId="6438" xr:uid="{00000000-0005-0000-0000-00000A170000}"/>
    <cellStyle name="Normal 5 2 2 2 2 2 2 5 3 2" xfId="14877" xr:uid="{C262E2E2-6321-445A-A554-A4127BD8CC8E}"/>
    <cellStyle name="Normal 5 2 2 2 2 2 2 5 4" xfId="10659" xr:uid="{EAD5C724-6687-4DAE-90E0-830038D80029}"/>
    <cellStyle name="Normal 5 2 2 2 2 2 2 6" xfId="2567" xr:uid="{00000000-0005-0000-0000-00000B170000}"/>
    <cellStyle name="Normal 5 2 2 2 2 2 2 6 2" xfId="6851" xr:uid="{00000000-0005-0000-0000-00000C170000}"/>
    <cellStyle name="Normal 5 2 2 2 2 2 2 6 2 2" xfId="15290" xr:uid="{77C78A92-07D5-4416-9141-90AF417EF763}"/>
    <cellStyle name="Normal 5 2 2 2 2 2 2 6 3" xfId="11072" xr:uid="{DB9674C4-B4DE-4484-A223-2817FE750B8C}"/>
    <cellStyle name="Normal 5 2 2 2 2 2 2 7" xfId="4786" xr:uid="{00000000-0005-0000-0000-00000D170000}"/>
    <cellStyle name="Normal 5 2 2 2 2 2 2 7 2" xfId="13225" xr:uid="{A6A9211D-1CB7-426E-A02B-D66D7BAEB177}"/>
    <cellStyle name="Normal 5 2 2 2 2 2 2 8" xfId="9007" xr:uid="{97624B21-B5F0-4B00-8E98-FD927E5F858B}"/>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C6566869-B5EE-4CA3-803A-4404168E81CB}"/>
    <cellStyle name="Normal 5 2 2 2 2 2 3 2 3" xfId="11564" xr:uid="{2DEEC3A8-A4C9-40A4-9EC1-F3FFB1A53D83}"/>
    <cellStyle name="Normal 5 2 2 2 2 2 3 3" xfId="5198" xr:uid="{00000000-0005-0000-0000-000011170000}"/>
    <cellStyle name="Normal 5 2 2 2 2 2 3 3 2" xfId="13637" xr:uid="{77F1998F-34EE-4798-8532-4869638A485A}"/>
    <cellStyle name="Normal 5 2 2 2 2 2 3 4" xfId="9419" xr:uid="{6CF30E60-7407-49DF-86E0-C0949DF73A7C}"/>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EFB8EE33-0156-48A6-B4EC-746E4D44F919}"/>
    <cellStyle name="Normal 5 2 2 2 2 2 4 2 3" xfId="11977" xr:uid="{7046A735-EA81-412F-8E5C-5532DCF084F1}"/>
    <cellStyle name="Normal 5 2 2 2 2 2 4 3" xfId="5611" xr:uid="{00000000-0005-0000-0000-000015170000}"/>
    <cellStyle name="Normal 5 2 2 2 2 2 4 3 2" xfId="14050" xr:uid="{FF385F44-285A-4C55-8FA9-0DECD06F1078}"/>
    <cellStyle name="Normal 5 2 2 2 2 2 4 4" xfId="9832" xr:uid="{9CE78042-4352-4C61-B92C-3EB0BA22D136}"/>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C1968521-4979-4864-8550-03A216991E05}"/>
    <cellStyle name="Normal 5 2 2 2 2 2 5 2 3" xfId="12390" xr:uid="{C66332D7-0E45-42A5-8B75-A992EB8F5E1B}"/>
    <cellStyle name="Normal 5 2 2 2 2 2 5 3" xfId="6024" xr:uid="{00000000-0005-0000-0000-000019170000}"/>
    <cellStyle name="Normal 5 2 2 2 2 2 5 3 2" xfId="14463" xr:uid="{49CE6577-4310-42AF-870C-BE7DE1555150}"/>
    <cellStyle name="Normal 5 2 2 2 2 2 5 4" xfId="10245" xr:uid="{36E57F42-2CDB-45F8-B822-872690C52A5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3C556EB2-8C9F-4E2E-913C-24910427E3CF}"/>
    <cellStyle name="Normal 5 2 2 2 2 2 6 2 3" xfId="12803" xr:uid="{C6B5A9DF-142B-4EBC-80E2-E7845F1C10A5}"/>
    <cellStyle name="Normal 5 2 2 2 2 2 6 3" xfId="6437" xr:uid="{00000000-0005-0000-0000-00001D170000}"/>
    <cellStyle name="Normal 5 2 2 2 2 2 6 3 2" xfId="14876" xr:uid="{AC27C5D6-8FEB-4303-BA46-BB593DA79F97}"/>
    <cellStyle name="Normal 5 2 2 2 2 2 6 4" xfId="10658" xr:uid="{A664F973-9FAD-432F-824A-B68F0BB017B2}"/>
    <cellStyle name="Normal 5 2 2 2 2 2 7" xfId="2566" xr:uid="{00000000-0005-0000-0000-00001E170000}"/>
    <cellStyle name="Normal 5 2 2 2 2 2 7 2" xfId="6850" xr:uid="{00000000-0005-0000-0000-00001F170000}"/>
    <cellStyle name="Normal 5 2 2 2 2 2 7 2 2" xfId="15289" xr:uid="{C4AE6DD3-5A34-4D5A-B839-37A497D9DD83}"/>
    <cellStyle name="Normal 5 2 2 2 2 2 7 3" xfId="11071" xr:uid="{249E6687-B9BD-4F13-B7CC-E71184E6D616}"/>
    <cellStyle name="Normal 5 2 2 2 2 2 8" xfId="4785" xr:uid="{00000000-0005-0000-0000-000020170000}"/>
    <cellStyle name="Normal 5 2 2 2 2 2 8 2" xfId="13224" xr:uid="{D25226E4-56BE-468C-9131-481925700863}"/>
    <cellStyle name="Normal 5 2 2 2 2 2 9" xfId="9006" xr:uid="{2E2F3BD0-EC69-4CBA-BE12-E2CD46CE928F}"/>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ED3F946B-68D2-4253-8725-8CB9414A3354}"/>
    <cellStyle name="Normal 5 2 2 2 2 3 2 2 3" xfId="11566" xr:uid="{6EB06795-2DB4-4237-A587-34FE4AF5910C}"/>
    <cellStyle name="Normal 5 2 2 2 2 3 2 3" xfId="5200" xr:uid="{00000000-0005-0000-0000-000025170000}"/>
    <cellStyle name="Normal 5 2 2 2 2 3 2 3 2" xfId="13639" xr:uid="{3A8817DF-A200-4A07-9C46-4B7112D72703}"/>
    <cellStyle name="Normal 5 2 2 2 2 3 2 4" xfId="9421" xr:uid="{46FEE9F9-F7B1-4CE1-A4DA-BC596625D2BA}"/>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F72FFEF9-B03F-4765-A795-45287900618F}"/>
    <cellStyle name="Normal 5 2 2 2 2 3 3 2 3" xfId="11979" xr:uid="{5BB850B2-E21B-4D88-9A30-28FB6A590359}"/>
    <cellStyle name="Normal 5 2 2 2 2 3 3 3" xfId="5613" xr:uid="{00000000-0005-0000-0000-000029170000}"/>
    <cellStyle name="Normal 5 2 2 2 2 3 3 3 2" xfId="14052" xr:uid="{9082EEE5-FF8D-4D84-90D3-E71EED9B905B}"/>
    <cellStyle name="Normal 5 2 2 2 2 3 3 4" xfId="9834" xr:uid="{6EBCFB17-28E6-4439-9BF1-EEBA98FC0183}"/>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917BC7C9-488E-4101-B23B-646794560BFF}"/>
    <cellStyle name="Normal 5 2 2 2 2 3 4 2 3" xfId="12392" xr:uid="{DB7053D2-AA06-4ADA-ABF9-94117CD76E52}"/>
    <cellStyle name="Normal 5 2 2 2 2 3 4 3" xfId="6026" xr:uid="{00000000-0005-0000-0000-00002D170000}"/>
    <cellStyle name="Normal 5 2 2 2 2 3 4 3 2" xfId="14465" xr:uid="{47C419F5-AE75-4883-9925-DFB8294A7A9F}"/>
    <cellStyle name="Normal 5 2 2 2 2 3 4 4" xfId="10247" xr:uid="{624F297C-6FCA-49C0-A607-A2C60BCB3247}"/>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0F5C2387-C2CF-4D87-AA3F-EF1AA2E6036F}"/>
    <cellStyle name="Normal 5 2 2 2 2 3 5 2 3" xfId="12805" xr:uid="{BBF4F07D-9468-41A2-9664-1BCE72421A25}"/>
    <cellStyle name="Normal 5 2 2 2 2 3 5 3" xfId="6439" xr:uid="{00000000-0005-0000-0000-000031170000}"/>
    <cellStyle name="Normal 5 2 2 2 2 3 5 3 2" xfId="14878" xr:uid="{CBD6CFF0-2C22-440C-9214-8E18CC4373EE}"/>
    <cellStyle name="Normal 5 2 2 2 2 3 5 4" xfId="10660" xr:uid="{85B7F85F-6099-44E2-8110-2091288453FB}"/>
    <cellStyle name="Normal 5 2 2 2 2 3 6" xfId="2568" xr:uid="{00000000-0005-0000-0000-000032170000}"/>
    <cellStyle name="Normal 5 2 2 2 2 3 6 2" xfId="6852" xr:uid="{00000000-0005-0000-0000-000033170000}"/>
    <cellStyle name="Normal 5 2 2 2 2 3 6 2 2" xfId="15291" xr:uid="{537F85FF-8AA6-46F7-BE9A-175D9E934980}"/>
    <cellStyle name="Normal 5 2 2 2 2 3 6 3" xfId="11073" xr:uid="{1103F67B-3B41-4036-873B-66B5408B2E5C}"/>
    <cellStyle name="Normal 5 2 2 2 2 3 7" xfId="4787" xr:uid="{00000000-0005-0000-0000-000034170000}"/>
    <cellStyle name="Normal 5 2 2 2 2 3 7 2" xfId="13226" xr:uid="{9C5ECF6C-0FA0-4CDB-B1BA-6EEFE3DA4FD2}"/>
    <cellStyle name="Normal 5 2 2 2 2 3 8" xfId="9008" xr:uid="{125D63A8-DBB4-4015-AB36-0A73240877B2}"/>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772C3232-1508-41DA-8BB1-2499621BE5E1}"/>
    <cellStyle name="Normal 5 2 2 2 2 4 2 3" xfId="11563" xr:uid="{6E164B32-0A8B-484A-902B-713799574AE0}"/>
    <cellStyle name="Normal 5 2 2 2 2 4 3" xfId="5197" xr:uid="{00000000-0005-0000-0000-000038170000}"/>
    <cellStyle name="Normal 5 2 2 2 2 4 3 2" xfId="13636" xr:uid="{7AFF77BA-C5E0-4271-9F76-193AD7D1FDB4}"/>
    <cellStyle name="Normal 5 2 2 2 2 4 4" xfId="9418" xr:uid="{5594317A-D09A-4757-A980-AD759D0D0BD5}"/>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0F9CD121-78A5-4A49-AFD4-ABCFAC66830A}"/>
    <cellStyle name="Normal 5 2 2 2 2 5 2 3" xfId="11976" xr:uid="{329E077C-A7B4-4E59-8DEB-F35388A78F60}"/>
    <cellStyle name="Normal 5 2 2 2 2 5 3" xfId="5610" xr:uid="{00000000-0005-0000-0000-00003C170000}"/>
    <cellStyle name="Normal 5 2 2 2 2 5 3 2" xfId="14049" xr:uid="{763A5E32-218C-4A20-A78B-8824D5804577}"/>
    <cellStyle name="Normal 5 2 2 2 2 5 4" xfId="9831" xr:uid="{6D2ABA04-C0AF-439A-9045-C7CFDA1AD1C3}"/>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96CAB19D-8ACA-4F65-980D-BED54ED9BE39}"/>
    <cellStyle name="Normal 5 2 2 2 2 6 2 3" xfId="12389" xr:uid="{70F92DF5-00E0-4178-A1F4-E003BD1D15AC}"/>
    <cellStyle name="Normal 5 2 2 2 2 6 3" xfId="6023" xr:uid="{00000000-0005-0000-0000-000040170000}"/>
    <cellStyle name="Normal 5 2 2 2 2 6 3 2" xfId="14462" xr:uid="{766AD6F4-794B-4E5F-88BF-9D6550ECAAC9}"/>
    <cellStyle name="Normal 5 2 2 2 2 6 4" xfId="10244" xr:uid="{5870CC4D-9A3F-4A10-94C0-0C17E4A6D0CC}"/>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E5E12D58-E68D-4BA5-8AA1-77EFDA4F98D7}"/>
    <cellStyle name="Normal 5 2 2 2 2 7 2 3" xfId="12802" xr:uid="{902CFD9B-983F-4658-8449-BC3EC44A6B58}"/>
    <cellStyle name="Normal 5 2 2 2 2 7 3" xfId="6436" xr:uid="{00000000-0005-0000-0000-000044170000}"/>
    <cellStyle name="Normal 5 2 2 2 2 7 3 2" xfId="14875" xr:uid="{781B66BA-7D71-4154-8060-22485BD47DB6}"/>
    <cellStyle name="Normal 5 2 2 2 2 7 4" xfId="10657" xr:uid="{3FEEA726-BA83-4584-BD70-1EB009C35238}"/>
    <cellStyle name="Normal 5 2 2 2 2 8" xfId="2565" xr:uid="{00000000-0005-0000-0000-000045170000}"/>
    <cellStyle name="Normal 5 2 2 2 2 8 2" xfId="6849" xr:uid="{00000000-0005-0000-0000-000046170000}"/>
    <cellStyle name="Normal 5 2 2 2 2 8 2 2" xfId="15288" xr:uid="{341FBDB7-FDD9-4C7E-A52F-F50688E4C7F8}"/>
    <cellStyle name="Normal 5 2 2 2 2 8 3" xfId="11070" xr:uid="{AEA9AB71-B3C3-43F6-9D6C-AE0E3B6BE2EC}"/>
    <cellStyle name="Normal 5 2 2 2 2 9" xfId="4784" xr:uid="{00000000-0005-0000-0000-000047170000}"/>
    <cellStyle name="Normal 5 2 2 2 2 9 2" xfId="13223" xr:uid="{E1B403D9-6FE5-4C01-BDFE-DA1CBA51609E}"/>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609E9597-72FA-4E0F-845E-390C2A388B28}"/>
    <cellStyle name="Normal 5 2 2 2 3 2 2 2 3" xfId="11568" xr:uid="{B6C50893-FFE7-46EF-91A9-52A8A3F595AD}"/>
    <cellStyle name="Normal 5 2 2 2 3 2 2 3" xfId="5202" xr:uid="{00000000-0005-0000-0000-00004D170000}"/>
    <cellStyle name="Normal 5 2 2 2 3 2 2 3 2" xfId="13641" xr:uid="{AF35C54F-32E2-4A99-B509-18548A0460BC}"/>
    <cellStyle name="Normal 5 2 2 2 3 2 2 4" xfId="9423" xr:uid="{D6E2F836-2884-41C9-BB76-859458380077}"/>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7C248D0D-C6F1-4D45-9928-FEE71C3867C3}"/>
    <cellStyle name="Normal 5 2 2 2 3 2 3 2 3" xfId="11981" xr:uid="{0B630FFB-5C3A-4DD2-B420-0BC419E3B5F2}"/>
    <cellStyle name="Normal 5 2 2 2 3 2 3 3" xfId="5615" xr:uid="{00000000-0005-0000-0000-000051170000}"/>
    <cellStyle name="Normal 5 2 2 2 3 2 3 3 2" xfId="14054" xr:uid="{8E3D6E61-272D-45F1-B5D5-C75A33055054}"/>
    <cellStyle name="Normal 5 2 2 2 3 2 3 4" xfId="9836" xr:uid="{20FCD63E-0B3A-463C-8723-24E02D5742E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57FDCC78-2692-429B-A399-340F112CFA71}"/>
    <cellStyle name="Normal 5 2 2 2 3 2 4 2 3" xfId="12394" xr:uid="{C20D2A99-1CF7-458F-8C64-6C0EA20FFE9C}"/>
    <cellStyle name="Normal 5 2 2 2 3 2 4 3" xfId="6028" xr:uid="{00000000-0005-0000-0000-000055170000}"/>
    <cellStyle name="Normal 5 2 2 2 3 2 4 3 2" xfId="14467" xr:uid="{E1A68969-98B8-4E54-BD9C-0274B8F0E49F}"/>
    <cellStyle name="Normal 5 2 2 2 3 2 4 4" xfId="10249" xr:uid="{4CCC5E3B-A84C-462B-92DA-144C66AEAC8F}"/>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48FD9721-FEDB-495B-BA8D-8EFA7DC6DA08}"/>
    <cellStyle name="Normal 5 2 2 2 3 2 5 2 3" xfId="12807" xr:uid="{CB9D6649-148C-48E4-8765-5D51D7260E5F}"/>
    <cellStyle name="Normal 5 2 2 2 3 2 5 3" xfId="6441" xr:uid="{00000000-0005-0000-0000-000059170000}"/>
    <cellStyle name="Normal 5 2 2 2 3 2 5 3 2" xfId="14880" xr:uid="{7060163C-8281-4C21-9F71-0C41D2B25D13}"/>
    <cellStyle name="Normal 5 2 2 2 3 2 5 4" xfId="10662" xr:uid="{365247D1-1C59-43DB-B532-EDDD39C4C69B}"/>
    <cellStyle name="Normal 5 2 2 2 3 2 6" xfId="2570" xr:uid="{00000000-0005-0000-0000-00005A170000}"/>
    <cellStyle name="Normal 5 2 2 2 3 2 6 2" xfId="6854" xr:uid="{00000000-0005-0000-0000-00005B170000}"/>
    <cellStyle name="Normal 5 2 2 2 3 2 6 2 2" xfId="15293" xr:uid="{5E0EDB2F-E4AC-4E0C-BF5E-A7DC64CDFB86}"/>
    <cellStyle name="Normal 5 2 2 2 3 2 6 3" xfId="11075" xr:uid="{79E92C89-AF02-48DF-B8A4-E1819114CC05}"/>
    <cellStyle name="Normal 5 2 2 2 3 2 7" xfId="4789" xr:uid="{00000000-0005-0000-0000-00005C170000}"/>
    <cellStyle name="Normal 5 2 2 2 3 2 7 2" xfId="13228" xr:uid="{9393206B-8A4F-4ACB-B154-9FDCDF4BC09B}"/>
    <cellStyle name="Normal 5 2 2 2 3 2 8" xfId="9010" xr:uid="{3D5F0460-12B6-43CB-A3DE-E5FAC026B507}"/>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32AF9392-105C-4FBA-A97C-A5CD7DD81E2A}"/>
    <cellStyle name="Normal 5 2 2 2 3 3 2 3" xfId="11567" xr:uid="{65CE3219-C83C-412A-BA79-AA5F235F43B8}"/>
    <cellStyle name="Normal 5 2 2 2 3 3 3" xfId="5201" xr:uid="{00000000-0005-0000-0000-000060170000}"/>
    <cellStyle name="Normal 5 2 2 2 3 3 3 2" xfId="13640" xr:uid="{21B8EFCE-23C0-4A39-912D-A67060DEBA2A}"/>
    <cellStyle name="Normal 5 2 2 2 3 3 4" xfId="9422" xr:uid="{5F5965EA-1E23-4468-8E9F-AB061D8A78C6}"/>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AB48E186-23E8-4D0E-87CE-4EFC4BA46DE7}"/>
    <cellStyle name="Normal 5 2 2 2 3 4 2 3" xfId="11980" xr:uid="{E6C704CD-834D-4976-A727-E0E63E0580BC}"/>
    <cellStyle name="Normal 5 2 2 2 3 4 3" xfId="5614" xr:uid="{00000000-0005-0000-0000-000064170000}"/>
    <cellStyle name="Normal 5 2 2 2 3 4 3 2" xfId="14053" xr:uid="{59E0DC1B-457C-4606-A942-348BAEFC1A21}"/>
    <cellStyle name="Normal 5 2 2 2 3 4 4" xfId="9835" xr:uid="{81D2DDCA-8809-44C4-A01C-CD590D0D255D}"/>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31858C9E-E293-4F84-BB14-7C7595747CFA}"/>
    <cellStyle name="Normal 5 2 2 2 3 5 2 3" xfId="12393" xr:uid="{413760C1-5C19-45C5-B5CC-3C57BE6BD65C}"/>
    <cellStyle name="Normal 5 2 2 2 3 5 3" xfId="6027" xr:uid="{00000000-0005-0000-0000-000068170000}"/>
    <cellStyle name="Normal 5 2 2 2 3 5 3 2" xfId="14466" xr:uid="{8B1CCB93-1A73-4C9C-A1E6-5986CF368C81}"/>
    <cellStyle name="Normal 5 2 2 2 3 5 4" xfId="10248" xr:uid="{4DA1E9C0-D06D-4780-BB86-21FEDCDE05C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53E50046-ECE0-4E85-B547-09C8EC751F8B}"/>
    <cellStyle name="Normal 5 2 2 2 3 6 2 3" xfId="12806" xr:uid="{13123765-5083-49D4-8C51-7772A45151F6}"/>
    <cellStyle name="Normal 5 2 2 2 3 6 3" xfId="6440" xr:uid="{00000000-0005-0000-0000-00006C170000}"/>
    <cellStyle name="Normal 5 2 2 2 3 6 3 2" xfId="14879" xr:uid="{7C96404A-F009-4EB5-AE6B-60CE157B850D}"/>
    <cellStyle name="Normal 5 2 2 2 3 6 4" xfId="10661" xr:uid="{FF9C9F46-9174-4D6E-BA43-F9524066BA32}"/>
    <cellStyle name="Normal 5 2 2 2 3 7" xfId="2569" xr:uid="{00000000-0005-0000-0000-00006D170000}"/>
    <cellStyle name="Normal 5 2 2 2 3 7 2" xfId="6853" xr:uid="{00000000-0005-0000-0000-00006E170000}"/>
    <cellStyle name="Normal 5 2 2 2 3 7 2 2" xfId="15292" xr:uid="{29913427-CDAC-436C-B663-2526FD45EAF9}"/>
    <cellStyle name="Normal 5 2 2 2 3 7 3" xfId="11074" xr:uid="{E15CF94F-5FD5-4875-8E6F-015C17A5010C}"/>
    <cellStyle name="Normal 5 2 2 2 3 8" xfId="4788" xr:uid="{00000000-0005-0000-0000-00006F170000}"/>
    <cellStyle name="Normal 5 2 2 2 3 8 2" xfId="13227" xr:uid="{B4109BAB-1F9F-49CA-AE2A-A2108875A6F2}"/>
    <cellStyle name="Normal 5 2 2 2 3 9" xfId="9009" xr:uid="{6C6EDF49-B348-46B7-B3BF-9C15F454121A}"/>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1D2F4288-F41F-4092-A830-93ED4F3746F4}"/>
    <cellStyle name="Normal 5 2 2 2 4 2 2 3" xfId="11569" xr:uid="{9063D5B5-8984-46AA-9409-613E35396A78}"/>
    <cellStyle name="Normal 5 2 2 2 4 2 3" xfId="5203" xr:uid="{00000000-0005-0000-0000-000074170000}"/>
    <cellStyle name="Normal 5 2 2 2 4 2 3 2" xfId="13642" xr:uid="{AE905767-27EC-403D-8B24-E95DC4D6245B}"/>
    <cellStyle name="Normal 5 2 2 2 4 2 4" xfId="9424" xr:uid="{9308967A-BAF5-4753-A9BF-C6A02347576F}"/>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2A676130-ADDE-4847-AA7B-94E94692031A}"/>
    <cellStyle name="Normal 5 2 2 2 4 3 2 3" xfId="11982" xr:uid="{FC1ED1CA-8AC8-4F8A-BF78-2BE6213BC16B}"/>
    <cellStyle name="Normal 5 2 2 2 4 3 3" xfId="5616" xr:uid="{00000000-0005-0000-0000-000078170000}"/>
    <cellStyle name="Normal 5 2 2 2 4 3 3 2" xfId="14055" xr:uid="{3472778B-FCC0-4C14-9D33-E0074B0FAF7A}"/>
    <cellStyle name="Normal 5 2 2 2 4 3 4" xfId="9837" xr:uid="{70E03945-2B96-446E-861E-E396A337803E}"/>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51562025-01C5-43FB-A18F-73A911FFC029}"/>
    <cellStyle name="Normal 5 2 2 2 4 4 2 3" xfId="12395" xr:uid="{C095A067-C0B2-419C-AB40-06A01A6B84A1}"/>
    <cellStyle name="Normal 5 2 2 2 4 4 3" xfId="6029" xr:uid="{00000000-0005-0000-0000-00007C170000}"/>
    <cellStyle name="Normal 5 2 2 2 4 4 3 2" xfId="14468" xr:uid="{A5DE495E-C527-4018-8FC9-DF833F1BDD79}"/>
    <cellStyle name="Normal 5 2 2 2 4 4 4" xfId="10250" xr:uid="{FF229913-E1E4-41E8-9C2B-F7B90ABFDB27}"/>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0A574D8C-7C07-49C8-8053-5219E7A919FC}"/>
    <cellStyle name="Normal 5 2 2 2 4 5 2 3" xfId="12808" xr:uid="{0D48A198-F2E3-47A1-87E9-FC7DFCFDE048}"/>
    <cellStyle name="Normal 5 2 2 2 4 5 3" xfId="6442" xr:uid="{00000000-0005-0000-0000-000080170000}"/>
    <cellStyle name="Normal 5 2 2 2 4 5 3 2" xfId="14881" xr:uid="{C8C522A0-5260-43CA-9B58-FAF17BE0EB35}"/>
    <cellStyle name="Normal 5 2 2 2 4 5 4" xfId="10663" xr:uid="{FFBD2FC4-D9A3-4AA7-BDDA-17B9C8FB39B8}"/>
    <cellStyle name="Normal 5 2 2 2 4 6" xfId="2571" xr:uid="{00000000-0005-0000-0000-000081170000}"/>
    <cellStyle name="Normal 5 2 2 2 4 6 2" xfId="6855" xr:uid="{00000000-0005-0000-0000-000082170000}"/>
    <cellStyle name="Normal 5 2 2 2 4 6 2 2" xfId="15294" xr:uid="{3C1C1CD2-ED0C-4A1F-BED7-F0FACA65E9D8}"/>
    <cellStyle name="Normal 5 2 2 2 4 6 3" xfId="11076" xr:uid="{2B3D9A08-3679-455F-A758-63A8D3C57E64}"/>
    <cellStyle name="Normal 5 2 2 2 4 7" xfId="4790" xr:uid="{00000000-0005-0000-0000-000083170000}"/>
    <cellStyle name="Normal 5 2 2 2 4 7 2" xfId="13229" xr:uid="{9F215173-C9E2-4DBE-A8D6-FAAFC262353D}"/>
    <cellStyle name="Normal 5 2 2 2 4 8" xfId="9011" xr:uid="{8BD10CC8-3035-4C09-8584-B20A5E6F6CF2}"/>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E7F822D9-EA89-4242-9E96-BCB17F4DA14D}"/>
    <cellStyle name="Normal 5 2 2 2 5 2 3" xfId="11562" xr:uid="{9D3FC5F6-5F9B-4231-9C2E-49F9C4D1FD67}"/>
    <cellStyle name="Normal 5 2 2 2 5 3" xfId="5196" xr:uid="{00000000-0005-0000-0000-000087170000}"/>
    <cellStyle name="Normal 5 2 2 2 5 3 2" xfId="13635" xr:uid="{84AE1E8E-9612-457F-A25D-9A48407C9AC8}"/>
    <cellStyle name="Normal 5 2 2 2 5 4" xfId="9417" xr:uid="{438D3AF9-300A-4A8F-8831-A67008A9833A}"/>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459F3854-A455-4B17-9293-C9B68546205F}"/>
    <cellStyle name="Normal 5 2 2 2 6 2 3" xfId="11975" xr:uid="{511B65C4-8C4D-454F-B5CC-6F343274BABB}"/>
    <cellStyle name="Normal 5 2 2 2 6 3" xfId="5609" xr:uid="{00000000-0005-0000-0000-00008B170000}"/>
    <cellStyle name="Normal 5 2 2 2 6 3 2" xfId="14048" xr:uid="{3E279B6B-921A-4B7E-AB7B-8427AC748CAF}"/>
    <cellStyle name="Normal 5 2 2 2 6 4" xfId="9830" xr:uid="{20133037-D2B7-411C-A207-78D253C587B6}"/>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C346EBE1-AB5D-46F1-A5BC-DF1DED106B70}"/>
    <cellStyle name="Normal 5 2 2 2 7 2 3" xfId="12388" xr:uid="{CE1DF486-BBCC-4650-B058-4399285CC339}"/>
    <cellStyle name="Normal 5 2 2 2 7 3" xfId="6022" xr:uid="{00000000-0005-0000-0000-00008F170000}"/>
    <cellStyle name="Normal 5 2 2 2 7 3 2" xfId="14461" xr:uid="{156669AD-92B3-4069-B3C5-E114806A8BFA}"/>
    <cellStyle name="Normal 5 2 2 2 7 4" xfId="10243" xr:uid="{9FFF8956-4E64-42DC-965A-69B07DA7585E}"/>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0B823635-71FC-45CB-917D-26D29B9C36A6}"/>
    <cellStyle name="Normal 5 2 2 2 8 2 3" xfId="12801" xr:uid="{2400E2F3-F486-4725-8C52-562CAC622DC7}"/>
    <cellStyle name="Normal 5 2 2 2 8 3" xfId="6435" xr:uid="{00000000-0005-0000-0000-000093170000}"/>
    <cellStyle name="Normal 5 2 2 2 8 3 2" xfId="14874" xr:uid="{C1C875A4-4653-4BD5-9504-2019E1D45237}"/>
    <cellStyle name="Normal 5 2 2 2 8 4" xfId="10656" xr:uid="{5F3A32D4-D36E-4851-BB77-F4B06092C719}"/>
    <cellStyle name="Normal 5 2 2 2 9" xfId="2564" xr:uid="{00000000-0005-0000-0000-000094170000}"/>
    <cellStyle name="Normal 5 2 2 2 9 2" xfId="6848" xr:uid="{00000000-0005-0000-0000-000095170000}"/>
    <cellStyle name="Normal 5 2 2 2 9 2 2" xfId="15287" xr:uid="{D8985A6C-6C2D-48D7-AEFA-DA9250F47563}"/>
    <cellStyle name="Normal 5 2 2 2 9 3" xfId="11069" xr:uid="{CB9EE919-224E-4D9F-9CB4-087A4EEDE1E6}"/>
    <cellStyle name="Normal 5 2 2 3" xfId="417" xr:uid="{00000000-0005-0000-0000-000096170000}"/>
    <cellStyle name="Normal 5 2 2 3 10" xfId="9012" xr:uid="{1A828F6C-E8E9-492F-A18B-F493AE07C05F}"/>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5E9814A2-2D89-4F90-9D2F-2915BFBFA0A6}"/>
    <cellStyle name="Normal 5 2 2 3 2 2 2 2 3" xfId="11572" xr:uid="{E37A2D0D-A3F9-4705-B5DE-7A2AD6364017}"/>
    <cellStyle name="Normal 5 2 2 3 2 2 2 3" xfId="5206" xr:uid="{00000000-0005-0000-0000-00009C170000}"/>
    <cellStyle name="Normal 5 2 2 3 2 2 2 3 2" xfId="13645" xr:uid="{1CAFBEDF-3287-45E1-A405-39B7F0A53335}"/>
    <cellStyle name="Normal 5 2 2 3 2 2 2 4" xfId="9427" xr:uid="{CCB22EEF-E07A-4F35-9CEC-DAF6F282C452}"/>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253EF940-6D41-4C79-9521-01C02436FCCF}"/>
    <cellStyle name="Normal 5 2 2 3 2 2 3 2 3" xfId="11985" xr:uid="{13205D0B-15AE-4683-889D-EB28F1162EAF}"/>
    <cellStyle name="Normal 5 2 2 3 2 2 3 3" xfId="5619" xr:uid="{00000000-0005-0000-0000-0000A0170000}"/>
    <cellStyle name="Normal 5 2 2 3 2 2 3 3 2" xfId="14058" xr:uid="{CE235AE0-945B-41A0-B34A-B9F08C00CA51}"/>
    <cellStyle name="Normal 5 2 2 3 2 2 3 4" xfId="9840" xr:uid="{18106AE2-9AD4-4BED-B69A-D72C08F5CE3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C09E35CD-79BD-45ED-AB68-B498C14C071E}"/>
    <cellStyle name="Normal 5 2 2 3 2 2 4 2 3" xfId="12398" xr:uid="{45D59A8E-F3BF-45C3-BC04-3C20180385DD}"/>
    <cellStyle name="Normal 5 2 2 3 2 2 4 3" xfId="6032" xr:uid="{00000000-0005-0000-0000-0000A4170000}"/>
    <cellStyle name="Normal 5 2 2 3 2 2 4 3 2" xfId="14471" xr:uid="{A8AD7465-C7A2-43C5-8FB0-EF068C20A137}"/>
    <cellStyle name="Normal 5 2 2 3 2 2 4 4" xfId="10253" xr:uid="{C5DFE011-659A-4CB5-A211-766721E1EB0C}"/>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9905AC2B-3A02-4CF8-9AC1-41A46FE0B2BD}"/>
    <cellStyle name="Normal 5 2 2 3 2 2 5 2 3" xfId="12811" xr:uid="{F3AC73DC-09D5-4C10-BCD0-A00B27174AA6}"/>
    <cellStyle name="Normal 5 2 2 3 2 2 5 3" xfId="6445" xr:uid="{00000000-0005-0000-0000-0000A8170000}"/>
    <cellStyle name="Normal 5 2 2 3 2 2 5 3 2" xfId="14884" xr:uid="{A2951135-140E-4B0A-95C0-2AF059A449EE}"/>
    <cellStyle name="Normal 5 2 2 3 2 2 5 4" xfId="10666" xr:uid="{69D18DEA-B9FC-446F-A725-C00CE7AA430B}"/>
    <cellStyle name="Normal 5 2 2 3 2 2 6" xfId="2574" xr:uid="{00000000-0005-0000-0000-0000A9170000}"/>
    <cellStyle name="Normal 5 2 2 3 2 2 6 2" xfId="6858" xr:uid="{00000000-0005-0000-0000-0000AA170000}"/>
    <cellStyle name="Normal 5 2 2 3 2 2 6 2 2" xfId="15297" xr:uid="{FE049E31-5F18-4D0B-BBC2-B887029A963A}"/>
    <cellStyle name="Normal 5 2 2 3 2 2 6 3" xfId="11079" xr:uid="{E0771B52-5EBB-4652-B6C3-4B47AE5E3AB8}"/>
    <cellStyle name="Normal 5 2 2 3 2 2 7" xfId="4793" xr:uid="{00000000-0005-0000-0000-0000AB170000}"/>
    <cellStyle name="Normal 5 2 2 3 2 2 7 2" xfId="13232" xr:uid="{5ADF35A6-6A21-4FBA-A4EE-DB0D275AC309}"/>
    <cellStyle name="Normal 5 2 2 3 2 2 8" xfId="9014" xr:uid="{70D0AF03-5E23-4544-A878-0341F2582534}"/>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E26FDE49-0915-4EFF-BC39-27BE4FEF4068}"/>
    <cellStyle name="Normal 5 2 2 3 2 3 2 3" xfId="11571" xr:uid="{5C2B522F-EE31-4622-9D3C-EE4149ECAF3D}"/>
    <cellStyle name="Normal 5 2 2 3 2 3 3" xfId="5205" xr:uid="{00000000-0005-0000-0000-0000AF170000}"/>
    <cellStyle name="Normal 5 2 2 3 2 3 3 2" xfId="13644" xr:uid="{851735B7-EE7F-4752-9B71-02DE9EF4A2C6}"/>
    <cellStyle name="Normal 5 2 2 3 2 3 4" xfId="9426" xr:uid="{99CF1993-25A8-4C7D-8E74-BF72192506C4}"/>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2061132B-A6BD-412B-9902-FA69955E2BF0}"/>
    <cellStyle name="Normal 5 2 2 3 2 4 2 3" xfId="11984" xr:uid="{38A70A38-80E2-4EE7-A917-890784DB1DD1}"/>
    <cellStyle name="Normal 5 2 2 3 2 4 3" xfId="5618" xr:uid="{00000000-0005-0000-0000-0000B3170000}"/>
    <cellStyle name="Normal 5 2 2 3 2 4 3 2" xfId="14057" xr:uid="{6A56D045-6A86-4A3B-AA3F-59405F611595}"/>
    <cellStyle name="Normal 5 2 2 3 2 4 4" xfId="9839" xr:uid="{51B44B3A-572B-4FED-89D6-37B585D104B6}"/>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9639BC36-5A8C-4C04-8943-F6BF696FEEDD}"/>
    <cellStyle name="Normal 5 2 2 3 2 5 2 3" xfId="12397" xr:uid="{2D5A44C7-4DD4-4AEE-B420-D4D9CF317EDF}"/>
    <cellStyle name="Normal 5 2 2 3 2 5 3" xfId="6031" xr:uid="{00000000-0005-0000-0000-0000B7170000}"/>
    <cellStyle name="Normal 5 2 2 3 2 5 3 2" xfId="14470" xr:uid="{0BD44F28-E70F-4A0D-838F-785C7488D9C3}"/>
    <cellStyle name="Normal 5 2 2 3 2 5 4" xfId="10252" xr:uid="{9443034A-F831-4B5A-A5DD-61D8E8470029}"/>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7B9EE862-5505-48D6-A77A-2232C3B7CF98}"/>
    <cellStyle name="Normal 5 2 2 3 2 6 2 3" xfId="12810" xr:uid="{2A07EA12-0AB6-4A23-A75C-55EE7AC30DEE}"/>
    <cellStyle name="Normal 5 2 2 3 2 6 3" xfId="6444" xr:uid="{00000000-0005-0000-0000-0000BB170000}"/>
    <cellStyle name="Normal 5 2 2 3 2 6 3 2" xfId="14883" xr:uid="{D23404F8-C96D-4DBE-8D71-C1737F80C68A}"/>
    <cellStyle name="Normal 5 2 2 3 2 6 4" xfId="10665" xr:uid="{744E2349-B5D1-46F3-8E1B-052154EC33C4}"/>
    <cellStyle name="Normal 5 2 2 3 2 7" xfId="2573" xr:uid="{00000000-0005-0000-0000-0000BC170000}"/>
    <cellStyle name="Normal 5 2 2 3 2 7 2" xfId="6857" xr:uid="{00000000-0005-0000-0000-0000BD170000}"/>
    <cellStyle name="Normal 5 2 2 3 2 7 2 2" xfId="15296" xr:uid="{489C439A-C98C-4319-837D-82E02D55D4C9}"/>
    <cellStyle name="Normal 5 2 2 3 2 7 3" xfId="11078" xr:uid="{AA477922-CC8C-4A57-969D-A09B58F43E39}"/>
    <cellStyle name="Normal 5 2 2 3 2 8" xfId="4792" xr:uid="{00000000-0005-0000-0000-0000BE170000}"/>
    <cellStyle name="Normal 5 2 2 3 2 8 2" xfId="13231" xr:uid="{19135115-22B4-423F-8E4B-6DF00FF3ACDD}"/>
    <cellStyle name="Normal 5 2 2 3 2 9" xfId="9013" xr:uid="{9E6A7125-D954-4B80-A238-10221E55F739}"/>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65D86F31-85E4-498D-8E25-6A0EE3EE8134}"/>
    <cellStyle name="Normal 5 2 2 3 3 2 2 3" xfId="11573" xr:uid="{436207F9-7976-47A2-9E11-7E5880E2D9E2}"/>
    <cellStyle name="Normal 5 2 2 3 3 2 3" xfId="5207" xr:uid="{00000000-0005-0000-0000-0000C3170000}"/>
    <cellStyle name="Normal 5 2 2 3 3 2 3 2" xfId="13646" xr:uid="{EDB12578-0ACF-4395-9B68-7069F96D5EB7}"/>
    <cellStyle name="Normal 5 2 2 3 3 2 4" xfId="9428" xr:uid="{9CC1EFF4-16BC-41C5-B508-ACB5F645861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42FB295B-677F-4BAA-943F-1BEA7515B1A6}"/>
    <cellStyle name="Normal 5 2 2 3 3 3 2 3" xfId="11986" xr:uid="{99FB02BA-51AE-4E7F-8C84-68A0E2798D71}"/>
    <cellStyle name="Normal 5 2 2 3 3 3 3" xfId="5620" xr:uid="{00000000-0005-0000-0000-0000C7170000}"/>
    <cellStyle name="Normal 5 2 2 3 3 3 3 2" xfId="14059" xr:uid="{9DFF5E3B-6C04-463C-82C2-32EB4D718668}"/>
    <cellStyle name="Normal 5 2 2 3 3 3 4" xfId="9841" xr:uid="{D76CBAB7-0B54-4FA6-BC5A-7D17F08247A5}"/>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4CB6FBED-FBD2-4F5F-A199-0ED3509E91F9}"/>
    <cellStyle name="Normal 5 2 2 3 3 4 2 3" xfId="12399" xr:uid="{4E037B4E-2D11-4C87-86CF-20C531423526}"/>
    <cellStyle name="Normal 5 2 2 3 3 4 3" xfId="6033" xr:uid="{00000000-0005-0000-0000-0000CB170000}"/>
    <cellStyle name="Normal 5 2 2 3 3 4 3 2" xfId="14472" xr:uid="{A89930ED-5F01-4861-A3F0-C355EF0A18C1}"/>
    <cellStyle name="Normal 5 2 2 3 3 4 4" xfId="10254" xr:uid="{F0542DEF-2190-4517-9083-8CCCBAD2C1EB}"/>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2075E906-AEDE-4E81-93BA-C8B3B4B699F4}"/>
    <cellStyle name="Normal 5 2 2 3 3 5 2 3" xfId="12812" xr:uid="{04FA5DB7-15AF-46F1-9EFB-47ECD148E11B}"/>
    <cellStyle name="Normal 5 2 2 3 3 5 3" xfId="6446" xr:uid="{00000000-0005-0000-0000-0000CF170000}"/>
    <cellStyle name="Normal 5 2 2 3 3 5 3 2" xfId="14885" xr:uid="{09C19B7B-0A9C-4B49-B4B9-674A18BEEE5F}"/>
    <cellStyle name="Normal 5 2 2 3 3 5 4" xfId="10667" xr:uid="{7603BEE5-773A-47F7-AC77-872162FEE1F9}"/>
    <cellStyle name="Normal 5 2 2 3 3 6" xfId="2575" xr:uid="{00000000-0005-0000-0000-0000D0170000}"/>
    <cellStyle name="Normal 5 2 2 3 3 6 2" xfId="6859" xr:uid="{00000000-0005-0000-0000-0000D1170000}"/>
    <cellStyle name="Normal 5 2 2 3 3 6 2 2" xfId="15298" xr:uid="{2F111855-DDF0-4847-BBA0-9A3D5088FC8C}"/>
    <cellStyle name="Normal 5 2 2 3 3 6 3" xfId="11080" xr:uid="{C141E91A-9627-441C-B980-9FC0C1848FDC}"/>
    <cellStyle name="Normal 5 2 2 3 3 7" xfId="4794" xr:uid="{00000000-0005-0000-0000-0000D2170000}"/>
    <cellStyle name="Normal 5 2 2 3 3 7 2" xfId="13233" xr:uid="{408CC1CB-A8F4-4FE2-81BB-8CC766D36D8A}"/>
    <cellStyle name="Normal 5 2 2 3 3 8" xfId="9015" xr:uid="{E58B713E-4B1B-40A9-BF3F-64DA1B2B590F}"/>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8109D57F-4B40-408C-A00F-66C605D6218E}"/>
    <cellStyle name="Normal 5 2 2 3 4 2 3" xfId="11570" xr:uid="{EE1BED2F-CF3D-41A4-8097-2CD5AA0527D9}"/>
    <cellStyle name="Normal 5 2 2 3 4 3" xfId="5204" xr:uid="{00000000-0005-0000-0000-0000D6170000}"/>
    <cellStyle name="Normal 5 2 2 3 4 3 2" xfId="13643" xr:uid="{48822C94-4373-45F4-AA5A-198B71E4E000}"/>
    <cellStyle name="Normal 5 2 2 3 4 4" xfId="9425" xr:uid="{33812F77-6A1E-446B-9688-BE8B1385CA0E}"/>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905A812B-C330-4240-8D7D-29FA61C6D102}"/>
    <cellStyle name="Normal 5 2 2 3 5 2 3" xfId="11983" xr:uid="{97C77726-68CB-418E-B957-56A8843F9BB1}"/>
    <cellStyle name="Normal 5 2 2 3 5 3" xfId="5617" xr:uid="{00000000-0005-0000-0000-0000DA170000}"/>
    <cellStyle name="Normal 5 2 2 3 5 3 2" xfId="14056" xr:uid="{D73148F3-2371-4549-9C40-8AE6E61D232B}"/>
    <cellStyle name="Normal 5 2 2 3 5 4" xfId="9838" xr:uid="{134B158C-CA60-47BC-BFE4-B0267D47242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B720536C-6EA5-4F35-AE8E-ECA0E4AEA558}"/>
    <cellStyle name="Normal 5 2 2 3 6 2 3" xfId="12396" xr:uid="{15220488-1A46-42EE-B9E5-BE472D9C0486}"/>
    <cellStyle name="Normal 5 2 2 3 6 3" xfId="6030" xr:uid="{00000000-0005-0000-0000-0000DE170000}"/>
    <cellStyle name="Normal 5 2 2 3 6 3 2" xfId="14469" xr:uid="{3018C5F8-C6B3-4DCB-BCFE-CD3CFDFB9758}"/>
    <cellStyle name="Normal 5 2 2 3 6 4" xfId="10251" xr:uid="{864576F4-3884-4E69-84E0-D1EAC5796971}"/>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92CD59C4-9F7D-46F9-A848-D1AD2D6A375E}"/>
    <cellStyle name="Normal 5 2 2 3 7 2 3" xfId="12809" xr:uid="{2E5FB38A-FEE5-45CD-A17A-5907FBBC69A6}"/>
    <cellStyle name="Normal 5 2 2 3 7 3" xfId="6443" xr:uid="{00000000-0005-0000-0000-0000E2170000}"/>
    <cellStyle name="Normal 5 2 2 3 7 3 2" xfId="14882" xr:uid="{82C4C2A6-4BFC-49E1-9086-13809618DF23}"/>
    <cellStyle name="Normal 5 2 2 3 7 4" xfId="10664" xr:uid="{2DD60904-FF98-42FC-85AD-491644B9893F}"/>
    <cellStyle name="Normal 5 2 2 3 8" xfId="2572" xr:uid="{00000000-0005-0000-0000-0000E3170000}"/>
    <cellStyle name="Normal 5 2 2 3 8 2" xfId="6856" xr:uid="{00000000-0005-0000-0000-0000E4170000}"/>
    <cellStyle name="Normal 5 2 2 3 8 2 2" xfId="15295" xr:uid="{3B4AB49A-567F-46EB-B8C2-B5614CC9DE9A}"/>
    <cellStyle name="Normal 5 2 2 3 8 3" xfId="11077" xr:uid="{59E068EA-ECD1-49E0-9CA8-3499D54B5596}"/>
    <cellStyle name="Normal 5 2 2 3 9" xfId="4791" xr:uid="{00000000-0005-0000-0000-0000E5170000}"/>
    <cellStyle name="Normal 5 2 2 3 9 2" xfId="13230" xr:uid="{D93CF1B6-AF33-4640-84AB-FC830EA3BA7E}"/>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E4990835-3CEF-4887-A59C-91FFDB34220B}"/>
    <cellStyle name="Normal 5 2 2 4 2 2 2 3" xfId="11575" xr:uid="{E044F6A0-74E7-4787-884D-1BB4843D63AF}"/>
    <cellStyle name="Normal 5 2 2 4 2 2 3" xfId="5209" xr:uid="{00000000-0005-0000-0000-0000EB170000}"/>
    <cellStyle name="Normal 5 2 2 4 2 2 3 2" xfId="13648" xr:uid="{B8128041-905E-4500-82E4-59A184ECA57B}"/>
    <cellStyle name="Normal 5 2 2 4 2 2 4" xfId="9430" xr:uid="{F1FDF727-7425-402B-9806-10B41C052EF3}"/>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5D09CCC5-C704-4E3C-97DE-6AAFB3540263}"/>
    <cellStyle name="Normal 5 2 2 4 2 3 2 3" xfId="11988" xr:uid="{AF50D309-F916-41C1-89B1-082A7704BD0E}"/>
    <cellStyle name="Normal 5 2 2 4 2 3 3" xfId="5622" xr:uid="{00000000-0005-0000-0000-0000EF170000}"/>
    <cellStyle name="Normal 5 2 2 4 2 3 3 2" xfId="14061" xr:uid="{0B48DC4A-200F-4FFF-83DF-58BBD2F7536E}"/>
    <cellStyle name="Normal 5 2 2 4 2 3 4" xfId="9843" xr:uid="{3621C2EB-AC61-4665-8764-DE4A2108CE71}"/>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D45AEB6B-2030-423E-9CFB-4EE9968A4CC9}"/>
    <cellStyle name="Normal 5 2 2 4 2 4 2 3" xfId="12401" xr:uid="{1DE40A91-5A98-423B-B867-7ECFF642D7E3}"/>
    <cellStyle name="Normal 5 2 2 4 2 4 3" xfId="6035" xr:uid="{00000000-0005-0000-0000-0000F3170000}"/>
    <cellStyle name="Normal 5 2 2 4 2 4 3 2" xfId="14474" xr:uid="{CA41FCC3-47E6-44F7-88CC-9F13B941BABD}"/>
    <cellStyle name="Normal 5 2 2 4 2 4 4" xfId="10256" xr:uid="{281931C2-10E9-42E8-A65E-59E5F6745D59}"/>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BB986464-B289-484B-A6AF-49980EF5F4EC}"/>
    <cellStyle name="Normal 5 2 2 4 2 5 2 3" xfId="12814" xr:uid="{348EC434-5DA5-4AB0-ADAA-2A1354B21142}"/>
    <cellStyle name="Normal 5 2 2 4 2 5 3" xfId="6448" xr:uid="{00000000-0005-0000-0000-0000F7170000}"/>
    <cellStyle name="Normal 5 2 2 4 2 5 3 2" xfId="14887" xr:uid="{8190CFA5-449E-4ED7-91B5-39BD38E91FE4}"/>
    <cellStyle name="Normal 5 2 2 4 2 5 4" xfId="10669" xr:uid="{F6E74840-23C0-4250-92BA-27DF50C76314}"/>
    <cellStyle name="Normal 5 2 2 4 2 6" xfId="2577" xr:uid="{00000000-0005-0000-0000-0000F8170000}"/>
    <cellStyle name="Normal 5 2 2 4 2 6 2" xfId="6861" xr:uid="{00000000-0005-0000-0000-0000F9170000}"/>
    <cellStyle name="Normal 5 2 2 4 2 6 2 2" xfId="15300" xr:uid="{D74F0B01-5CBA-4D4D-8A29-8656FF4FA4F6}"/>
    <cellStyle name="Normal 5 2 2 4 2 6 3" xfId="11082" xr:uid="{9529253A-D5D6-4008-ABAF-AC6F56DEE323}"/>
    <cellStyle name="Normal 5 2 2 4 2 7" xfId="4796" xr:uid="{00000000-0005-0000-0000-0000FA170000}"/>
    <cellStyle name="Normal 5 2 2 4 2 7 2" xfId="13235" xr:uid="{ADF64221-27D9-409D-ADE8-12EA4A71CB24}"/>
    <cellStyle name="Normal 5 2 2 4 2 8" xfId="9017" xr:uid="{04758B88-B757-4FFF-8AE2-96B1A5E1B131}"/>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4D48EFA1-F94F-4C99-A476-C5FCEB4D52E1}"/>
    <cellStyle name="Normal 5 2 2 4 3 2 3" xfId="11574" xr:uid="{F88BDEAF-99AF-4D95-80B1-5BA42A70057C}"/>
    <cellStyle name="Normal 5 2 2 4 3 3" xfId="5208" xr:uid="{00000000-0005-0000-0000-0000FE170000}"/>
    <cellStyle name="Normal 5 2 2 4 3 3 2" xfId="13647" xr:uid="{8B625A02-42B2-47A4-BDF8-B0C6B3ECE74C}"/>
    <cellStyle name="Normal 5 2 2 4 3 4" xfId="9429" xr:uid="{933651A8-AB78-417D-AFAA-61303E64EE97}"/>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55E0E81C-1D74-45F7-908F-557F78152365}"/>
    <cellStyle name="Normal 5 2 2 4 4 2 3" xfId="11987" xr:uid="{5C1A53C8-CD67-4DE9-88BF-02297A759CA2}"/>
    <cellStyle name="Normal 5 2 2 4 4 3" xfId="5621" xr:uid="{00000000-0005-0000-0000-000002180000}"/>
    <cellStyle name="Normal 5 2 2 4 4 3 2" xfId="14060" xr:uid="{3D77AA18-41F3-41C6-9C09-2FCEB2E0C146}"/>
    <cellStyle name="Normal 5 2 2 4 4 4" xfId="9842" xr:uid="{D8E21855-9ED1-420B-AB5E-46C0D20A25B7}"/>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A265AAC0-8CA4-4967-BF3F-F995287FAEE8}"/>
    <cellStyle name="Normal 5 2 2 4 5 2 3" xfId="12400" xr:uid="{830CE123-8E48-4689-A991-9B99A5D3F182}"/>
    <cellStyle name="Normal 5 2 2 4 5 3" xfId="6034" xr:uid="{00000000-0005-0000-0000-000006180000}"/>
    <cellStyle name="Normal 5 2 2 4 5 3 2" xfId="14473" xr:uid="{DB17ADF3-E3DD-4208-9714-6E1D6464C572}"/>
    <cellStyle name="Normal 5 2 2 4 5 4" xfId="10255" xr:uid="{50D12D4B-7001-4C67-80EA-9B2FE425E6F3}"/>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F4D5124F-D901-4393-909B-F4A9396BA717}"/>
    <cellStyle name="Normal 5 2 2 4 6 2 3" xfId="12813" xr:uid="{003DB23A-4601-41E8-BD07-54CA8F0514BA}"/>
    <cellStyle name="Normal 5 2 2 4 6 3" xfId="6447" xr:uid="{00000000-0005-0000-0000-00000A180000}"/>
    <cellStyle name="Normal 5 2 2 4 6 3 2" xfId="14886" xr:uid="{4DBB7A5C-49DD-4149-A47E-F494DC351F0A}"/>
    <cellStyle name="Normal 5 2 2 4 6 4" xfId="10668" xr:uid="{4E813BE0-8674-4E61-B61B-C2618B1AD54D}"/>
    <cellStyle name="Normal 5 2 2 4 7" xfId="2576" xr:uid="{00000000-0005-0000-0000-00000B180000}"/>
    <cellStyle name="Normal 5 2 2 4 7 2" xfId="6860" xr:uid="{00000000-0005-0000-0000-00000C180000}"/>
    <cellStyle name="Normal 5 2 2 4 7 2 2" xfId="15299" xr:uid="{CBF06214-6F1E-4EE3-A977-31C08F4D19EB}"/>
    <cellStyle name="Normal 5 2 2 4 7 3" xfId="11081" xr:uid="{22D48636-E8F2-4A3C-8F89-6C9E4DF1BB42}"/>
    <cellStyle name="Normal 5 2 2 4 8" xfId="4795" xr:uid="{00000000-0005-0000-0000-00000D180000}"/>
    <cellStyle name="Normal 5 2 2 4 8 2" xfId="13234" xr:uid="{AC6DEAA1-6C92-4D15-9D0C-4DEE2C4E9ACC}"/>
    <cellStyle name="Normal 5 2 2 4 9" xfId="9016" xr:uid="{7F56BC8F-77A8-424B-9DA2-DACCB31F5C7C}"/>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33D0AE88-E1FB-4A6E-BC3B-5C64F0530C35}"/>
    <cellStyle name="Normal 5 2 2 5 2 2 3" xfId="11576" xr:uid="{9C54AA86-D68E-4D73-B8D1-BF8C7D2ADCC3}"/>
    <cellStyle name="Normal 5 2 2 5 2 3" xfId="5210" xr:uid="{00000000-0005-0000-0000-000012180000}"/>
    <cellStyle name="Normal 5 2 2 5 2 3 2" xfId="13649" xr:uid="{D248246B-FD30-4BB1-B2DF-7616D9DE61CF}"/>
    <cellStyle name="Normal 5 2 2 5 2 4" xfId="9431" xr:uid="{497D75DC-C695-490F-849B-F2718A718321}"/>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E3721D13-433A-4377-A680-6C20DD8FFAEB}"/>
    <cellStyle name="Normal 5 2 2 5 3 2 3" xfId="11989" xr:uid="{F36151C4-A14F-4D4B-A12E-B897A064BCFC}"/>
    <cellStyle name="Normal 5 2 2 5 3 3" xfId="5623" xr:uid="{00000000-0005-0000-0000-000016180000}"/>
    <cellStyle name="Normal 5 2 2 5 3 3 2" xfId="14062" xr:uid="{C3BCA8A5-8F8D-409B-9FD2-43188224EECB}"/>
    <cellStyle name="Normal 5 2 2 5 3 4" xfId="9844" xr:uid="{2580BF53-FBAE-47A0-AC93-A18A411FFCBA}"/>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DB3E6D01-924F-45CF-88B3-DA1AFC83BC28}"/>
    <cellStyle name="Normal 5 2 2 5 4 2 3" xfId="12402" xr:uid="{91B75E00-31AF-4966-9FE9-DEF736CE33EE}"/>
    <cellStyle name="Normal 5 2 2 5 4 3" xfId="6036" xr:uid="{00000000-0005-0000-0000-00001A180000}"/>
    <cellStyle name="Normal 5 2 2 5 4 3 2" xfId="14475" xr:uid="{D0AE8BAB-567D-4801-83D2-607814DC25EF}"/>
    <cellStyle name="Normal 5 2 2 5 4 4" xfId="10257" xr:uid="{933DFF52-1EDB-4A81-B99E-AD4DC26D3EA5}"/>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00B329D4-5D84-441C-8C8C-6AB4D973CC86}"/>
    <cellStyle name="Normal 5 2 2 5 5 2 3" xfId="12815" xr:uid="{D5CA1346-A617-455F-B922-BEA4B7C4BB20}"/>
    <cellStyle name="Normal 5 2 2 5 5 3" xfId="6449" xr:uid="{00000000-0005-0000-0000-00001E180000}"/>
    <cellStyle name="Normal 5 2 2 5 5 3 2" xfId="14888" xr:uid="{7C6D4FA6-C5B0-4F57-9FEA-457DEFAA150F}"/>
    <cellStyle name="Normal 5 2 2 5 5 4" xfId="10670" xr:uid="{8A78A58F-B4A3-46B2-86CC-8379613E487E}"/>
    <cellStyle name="Normal 5 2 2 5 6" xfId="2578" xr:uid="{00000000-0005-0000-0000-00001F180000}"/>
    <cellStyle name="Normal 5 2 2 5 6 2" xfId="6862" xr:uid="{00000000-0005-0000-0000-000020180000}"/>
    <cellStyle name="Normal 5 2 2 5 6 2 2" xfId="15301" xr:uid="{1D22A1DD-6205-48B3-8046-4D84A9BCB5E6}"/>
    <cellStyle name="Normal 5 2 2 5 6 3" xfId="11083" xr:uid="{2B90A052-95AF-41C6-838E-F02FDE352207}"/>
    <cellStyle name="Normal 5 2 2 5 7" xfId="4797" xr:uid="{00000000-0005-0000-0000-000021180000}"/>
    <cellStyle name="Normal 5 2 2 5 7 2" xfId="13236" xr:uid="{F5949A4A-43D9-45FE-996E-0F761A867C81}"/>
    <cellStyle name="Normal 5 2 2 5 8" xfId="9018" xr:uid="{D58AEA30-772A-4622-8C2A-6F843DC2876C}"/>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F6FEDF0D-C53C-4AF9-87B5-C15F97707B04}"/>
    <cellStyle name="Normal 5 2 2 6 2 3" xfId="11561" xr:uid="{4B8A20FC-F2B9-4B8D-A650-FFDBC0ADF783}"/>
    <cellStyle name="Normal 5 2 2 6 3" xfId="5195" xr:uid="{00000000-0005-0000-0000-000025180000}"/>
    <cellStyle name="Normal 5 2 2 6 3 2" xfId="13634" xr:uid="{79F05DF0-3891-454E-86FA-26A242436513}"/>
    <cellStyle name="Normal 5 2 2 6 4" xfId="9416" xr:uid="{0AC6B89C-6D85-406F-B94F-1D06F06253E4}"/>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F9DB4954-1086-450A-BC1E-54B729634D63}"/>
    <cellStyle name="Normal 5 2 2 7 2 3" xfId="11974" xr:uid="{7BC04275-C88F-423F-99B4-9E7E6C7FC809}"/>
    <cellStyle name="Normal 5 2 2 7 3" xfId="5608" xr:uid="{00000000-0005-0000-0000-000029180000}"/>
    <cellStyle name="Normal 5 2 2 7 3 2" xfId="14047" xr:uid="{E0D7EBB9-6DFA-4F41-B9E4-26E85D0D3DDE}"/>
    <cellStyle name="Normal 5 2 2 7 4" xfId="9829" xr:uid="{AE1119C5-9457-4B19-A339-486CAA1CB869}"/>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D15A4B9F-5CC9-4403-87FD-AC73A2AEF018}"/>
    <cellStyle name="Normal 5 2 2 8 2 3" xfId="12387" xr:uid="{FC51772E-7CF7-4D08-A2F3-B62FFE470C4F}"/>
    <cellStyle name="Normal 5 2 2 8 3" xfId="6021" xr:uid="{00000000-0005-0000-0000-00002D180000}"/>
    <cellStyle name="Normal 5 2 2 8 3 2" xfId="14460" xr:uid="{52635B59-B47C-40E7-84A4-845DCF4F35EB}"/>
    <cellStyle name="Normal 5 2 2 8 4" xfId="10242" xr:uid="{AEEAD0DA-7293-4F4C-8B86-D15C2C87FC9E}"/>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533A4416-9DF5-4F11-9AD0-63304FB6E19B}"/>
    <cellStyle name="Normal 5 2 2 9 2 3" xfId="12800" xr:uid="{E6DC1A4B-C07C-4F40-9256-8057B8876AE2}"/>
    <cellStyle name="Normal 5 2 2 9 3" xfId="6434" xr:uid="{00000000-0005-0000-0000-000031180000}"/>
    <cellStyle name="Normal 5 2 2 9 3 2" xfId="14873" xr:uid="{0BC1BAC7-F32B-47DC-B237-4D3B40E86DA8}"/>
    <cellStyle name="Normal 5 2 2 9 4" xfId="10655" xr:uid="{A816CF15-308D-4ADC-89FB-7B4B863268C7}"/>
    <cellStyle name="Normal 5 2 3" xfId="424" xr:uid="{00000000-0005-0000-0000-000032180000}"/>
    <cellStyle name="Normal 5 2 3 10" xfId="4798" xr:uid="{00000000-0005-0000-0000-000033180000}"/>
    <cellStyle name="Normal 5 2 3 10 2" xfId="13237" xr:uid="{86E2BA88-3D40-4131-96D2-6F12A538CF31}"/>
    <cellStyle name="Normal 5 2 3 11" xfId="9019" xr:uid="{5B209FC4-A345-471D-BA84-607EE18A929D}"/>
    <cellStyle name="Normal 5 2 3 2" xfId="425" xr:uid="{00000000-0005-0000-0000-000034180000}"/>
    <cellStyle name="Normal 5 2 3 2 10" xfId="9020" xr:uid="{D9A7247B-2446-460B-A537-F584DD4B539D}"/>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9D9EFD72-9250-4CF4-8DE1-C700EF5398D0}"/>
    <cellStyle name="Normal 5 2 3 2 2 2 2 2 3" xfId="11580" xr:uid="{3B0FAB65-CC78-40C6-B138-C8D7DB73DAA8}"/>
    <cellStyle name="Normal 5 2 3 2 2 2 2 3" xfId="5214" xr:uid="{00000000-0005-0000-0000-00003A180000}"/>
    <cellStyle name="Normal 5 2 3 2 2 2 2 3 2" xfId="13653" xr:uid="{920B45FD-4BCC-406F-9102-644851875148}"/>
    <cellStyle name="Normal 5 2 3 2 2 2 2 4" xfId="9435" xr:uid="{5C6E7DF6-C4E5-4565-B073-EF6FD7965A04}"/>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083A7E3D-24CE-4527-9F73-30598CB0FD03}"/>
    <cellStyle name="Normal 5 2 3 2 2 2 3 2 3" xfId="11993" xr:uid="{E4FCA590-69FA-43B8-BB68-C32170D8C5C5}"/>
    <cellStyle name="Normal 5 2 3 2 2 2 3 3" xfId="5627" xr:uid="{00000000-0005-0000-0000-00003E180000}"/>
    <cellStyle name="Normal 5 2 3 2 2 2 3 3 2" xfId="14066" xr:uid="{55BBA717-94D9-402D-89FB-FD8E9878D325}"/>
    <cellStyle name="Normal 5 2 3 2 2 2 3 4" xfId="9848" xr:uid="{0E7DF442-347F-48F9-86DD-2EB9A35F195B}"/>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375C0164-D68F-4171-AA17-988D8FAE4889}"/>
    <cellStyle name="Normal 5 2 3 2 2 2 4 2 3" xfId="12406" xr:uid="{F880E820-3B0A-406D-BAD5-2AC990703608}"/>
    <cellStyle name="Normal 5 2 3 2 2 2 4 3" xfId="6040" xr:uid="{00000000-0005-0000-0000-000042180000}"/>
    <cellStyle name="Normal 5 2 3 2 2 2 4 3 2" xfId="14479" xr:uid="{3BC23055-8428-4A1E-8C41-E4BFAF03B53F}"/>
    <cellStyle name="Normal 5 2 3 2 2 2 4 4" xfId="10261" xr:uid="{3D928DEE-1500-4521-AF1B-C5C425F5B978}"/>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1B87FE34-AA2B-40BB-B0DC-5FB9C5BFB525}"/>
    <cellStyle name="Normal 5 2 3 2 2 2 5 2 3" xfId="12819" xr:uid="{D69D461E-A822-4D87-BE87-B668FD77F420}"/>
    <cellStyle name="Normal 5 2 3 2 2 2 5 3" xfId="6453" xr:uid="{00000000-0005-0000-0000-000046180000}"/>
    <cellStyle name="Normal 5 2 3 2 2 2 5 3 2" xfId="14892" xr:uid="{DFD45278-95AB-4A90-A0A6-2DFE7D97D323}"/>
    <cellStyle name="Normal 5 2 3 2 2 2 5 4" xfId="10674" xr:uid="{361CE286-CD78-43F5-B8FF-EFF710259BC3}"/>
    <cellStyle name="Normal 5 2 3 2 2 2 6" xfId="2582" xr:uid="{00000000-0005-0000-0000-000047180000}"/>
    <cellStyle name="Normal 5 2 3 2 2 2 6 2" xfId="6866" xr:uid="{00000000-0005-0000-0000-000048180000}"/>
    <cellStyle name="Normal 5 2 3 2 2 2 6 2 2" xfId="15305" xr:uid="{1FFF849A-491E-4708-B2F6-3ACEADEC63D2}"/>
    <cellStyle name="Normal 5 2 3 2 2 2 6 3" xfId="11087" xr:uid="{B5EA58DB-97C3-473C-B6D1-774C1A1A66C3}"/>
    <cellStyle name="Normal 5 2 3 2 2 2 7" xfId="4801" xr:uid="{00000000-0005-0000-0000-000049180000}"/>
    <cellStyle name="Normal 5 2 3 2 2 2 7 2" xfId="13240" xr:uid="{F37A4251-A880-4A5C-A639-9E5BEC066D0F}"/>
    <cellStyle name="Normal 5 2 3 2 2 2 8" xfId="9022" xr:uid="{FB8C7718-C7BA-4F8D-A0FF-8A8F532F3C27}"/>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D1FF3A9A-00DB-486E-AE57-01475BB6B1C2}"/>
    <cellStyle name="Normal 5 2 3 2 2 3 2 3" xfId="11579" xr:uid="{F8E02886-A793-40E5-88D8-35439AF36619}"/>
    <cellStyle name="Normal 5 2 3 2 2 3 3" xfId="5213" xr:uid="{00000000-0005-0000-0000-00004D180000}"/>
    <cellStyle name="Normal 5 2 3 2 2 3 3 2" xfId="13652" xr:uid="{A382C9DC-AFA7-4BC6-BC51-0D05D3605D8F}"/>
    <cellStyle name="Normal 5 2 3 2 2 3 4" xfId="9434" xr:uid="{BEC03AA3-A7EB-4D35-ACB9-EB273D5DBE61}"/>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C2ADB4B9-FB3E-45AB-9225-E937503505B6}"/>
    <cellStyle name="Normal 5 2 3 2 2 4 2 3" xfId="11992" xr:uid="{E8EAEDF2-8F7B-4F6B-8FB3-29A768B5DCB9}"/>
    <cellStyle name="Normal 5 2 3 2 2 4 3" xfId="5626" xr:uid="{00000000-0005-0000-0000-000051180000}"/>
    <cellStyle name="Normal 5 2 3 2 2 4 3 2" xfId="14065" xr:uid="{2C4080EB-0307-4C24-B64E-8217C61F0A13}"/>
    <cellStyle name="Normal 5 2 3 2 2 4 4" xfId="9847" xr:uid="{FB14D5E5-4770-489F-824A-EA22CE78D37F}"/>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2AD2B3B7-FB9E-4700-86E8-C6293FC1144F}"/>
    <cellStyle name="Normal 5 2 3 2 2 5 2 3" xfId="12405" xr:uid="{42400C5B-917D-4E6A-884F-52E77592D0FD}"/>
    <cellStyle name="Normal 5 2 3 2 2 5 3" xfId="6039" xr:uid="{00000000-0005-0000-0000-000055180000}"/>
    <cellStyle name="Normal 5 2 3 2 2 5 3 2" xfId="14478" xr:uid="{07FD2017-C7E3-408C-B1D2-40DE129B1421}"/>
    <cellStyle name="Normal 5 2 3 2 2 5 4" xfId="10260" xr:uid="{CB910C89-3D27-4B74-A442-137F6C6A7E7C}"/>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40AA28DB-DD2E-49EE-843E-3FA54AB42701}"/>
    <cellStyle name="Normal 5 2 3 2 2 6 2 3" xfId="12818" xr:uid="{68E18E3A-9C5D-44B6-A1CD-2C1DA3F92C4B}"/>
    <cellStyle name="Normal 5 2 3 2 2 6 3" xfId="6452" xr:uid="{00000000-0005-0000-0000-000059180000}"/>
    <cellStyle name="Normal 5 2 3 2 2 6 3 2" xfId="14891" xr:uid="{A3568CE0-5312-4558-AD71-40D4A585E8D5}"/>
    <cellStyle name="Normal 5 2 3 2 2 6 4" xfId="10673" xr:uid="{BBF73343-C73E-4CBF-B41D-23EF6A9C4741}"/>
    <cellStyle name="Normal 5 2 3 2 2 7" xfId="2581" xr:uid="{00000000-0005-0000-0000-00005A180000}"/>
    <cellStyle name="Normal 5 2 3 2 2 7 2" xfId="6865" xr:uid="{00000000-0005-0000-0000-00005B180000}"/>
    <cellStyle name="Normal 5 2 3 2 2 7 2 2" xfId="15304" xr:uid="{810B243F-9202-4C9B-96C6-432CF6A3C1F2}"/>
    <cellStyle name="Normal 5 2 3 2 2 7 3" xfId="11086" xr:uid="{A7C9458F-B025-4A53-891C-360085E15238}"/>
    <cellStyle name="Normal 5 2 3 2 2 8" xfId="4800" xr:uid="{00000000-0005-0000-0000-00005C180000}"/>
    <cellStyle name="Normal 5 2 3 2 2 8 2" xfId="13239" xr:uid="{9397B503-88A7-43B9-86B5-0F311887B315}"/>
    <cellStyle name="Normal 5 2 3 2 2 9" xfId="9021" xr:uid="{2D6BB4D7-7D3D-40FF-B049-31B9B3E862D3}"/>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E5DAAC7C-078A-410A-B1D6-2B2F4200E522}"/>
    <cellStyle name="Normal 5 2 3 2 3 2 2 3" xfId="11581" xr:uid="{C48C7CAA-4F41-450A-81B8-6D403E98DE0F}"/>
    <cellStyle name="Normal 5 2 3 2 3 2 3" xfId="5215" xr:uid="{00000000-0005-0000-0000-000061180000}"/>
    <cellStyle name="Normal 5 2 3 2 3 2 3 2" xfId="13654" xr:uid="{261E7F2C-E244-4998-99C4-DDEA30D20C2D}"/>
    <cellStyle name="Normal 5 2 3 2 3 2 4" xfId="9436" xr:uid="{9DC78569-6389-4CE9-A8A3-11C323D58ADC}"/>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BF73B610-2D32-45BB-B76A-DFC503FC822E}"/>
    <cellStyle name="Normal 5 2 3 2 3 3 2 3" xfId="11994" xr:uid="{0FD82E13-17C9-4B1C-B063-87F32EFF4898}"/>
    <cellStyle name="Normal 5 2 3 2 3 3 3" xfId="5628" xr:uid="{00000000-0005-0000-0000-000065180000}"/>
    <cellStyle name="Normal 5 2 3 2 3 3 3 2" xfId="14067" xr:uid="{EEB4014F-3B6F-4DBC-9E3E-DFF1B52C1FEF}"/>
    <cellStyle name="Normal 5 2 3 2 3 3 4" xfId="9849" xr:uid="{A8211613-1A44-4AD9-BF44-9352A1CE3078}"/>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BF7D9D47-C517-4B14-9B89-52027F6CD828}"/>
    <cellStyle name="Normal 5 2 3 2 3 4 2 3" xfId="12407" xr:uid="{1D9902EC-3045-472F-9887-F254AC2D8FDB}"/>
    <cellStyle name="Normal 5 2 3 2 3 4 3" xfId="6041" xr:uid="{00000000-0005-0000-0000-000069180000}"/>
    <cellStyle name="Normal 5 2 3 2 3 4 3 2" xfId="14480" xr:uid="{F8161522-4A02-4691-ADBE-B0CF09BD682A}"/>
    <cellStyle name="Normal 5 2 3 2 3 4 4" xfId="10262" xr:uid="{1BB157DD-DBD0-4292-9556-52A3D915DF06}"/>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735D73DA-2C1F-4BF4-A1CB-8D6270EC2798}"/>
    <cellStyle name="Normal 5 2 3 2 3 5 2 3" xfId="12820" xr:uid="{F3C0F9E4-3FB2-4D26-959A-BE5DAC2CCF75}"/>
    <cellStyle name="Normal 5 2 3 2 3 5 3" xfId="6454" xr:uid="{00000000-0005-0000-0000-00006D180000}"/>
    <cellStyle name="Normal 5 2 3 2 3 5 3 2" xfId="14893" xr:uid="{BD9106C6-D957-42EA-BF14-1F14AFA808F5}"/>
    <cellStyle name="Normal 5 2 3 2 3 5 4" xfId="10675" xr:uid="{A8D9E057-32AD-4E24-AD06-48DFEE83FEFA}"/>
    <cellStyle name="Normal 5 2 3 2 3 6" xfId="2583" xr:uid="{00000000-0005-0000-0000-00006E180000}"/>
    <cellStyle name="Normal 5 2 3 2 3 6 2" xfId="6867" xr:uid="{00000000-0005-0000-0000-00006F180000}"/>
    <cellStyle name="Normal 5 2 3 2 3 6 2 2" xfId="15306" xr:uid="{D043FD9E-2108-4A1F-9499-9F8B9739F023}"/>
    <cellStyle name="Normal 5 2 3 2 3 6 3" xfId="11088" xr:uid="{45A4F641-5669-44D6-B725-8868751429AC}"/>
    <cellStyle name="Normal 5 2 3 2 3 7" xfId="4802" xr:uid="{00000000-0005-0000-0000-000070180000}"/>
    <cellStyle name="Normal 5 2 3 2 3 7 2" xfId="13241" xr:uid="{96775692-C590-4CAB-A7F0-4BF34525AAF1}"/>
    <cellStyle name="Normal 5 2 3 2 3 8" xfId="9023" xr:uid="{F421B675-A3DD-479D-AF58-E190C92FFC4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36800AEE-3863-4D97-9DAA-FE849BBBD7AC}"/>
    <cellStyle name="Normal 5 2 3 2 4 2 3" xfId="11578" xr:uid="{041CD257-79AD-46E5-B578-3A54A59D50F2}"/>
    <cellStyle name="Normal 5 2 3 2 4 3" xfId="5212" xr:uid="{00000000-0005-0000-0000-000074180000}"/>
    <cellStyle name="Normal 5 2 3 2 4 3 2" xfId="13651" xr:uid="{E2FEFA1B-9395-4F30-8F81-BEDA5B0559B0}"/>
    <cellStyle name="Normal 5 2 3 2 4 4" xfId="9433" xr:uid="{6FB357C4-F42D-4C6A-A510-D7A22E339294}"/>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EAF66431-82FE-4470-8646-DBE00E32F0CD}"/>
    <cellStyle name="Normal 5 2 3 2 5 2 3" xfId="11991" xr:uid="{B0798FFC-B7A2-4BA6-89B8-8B5C9E6892BF}"/>
    <cellStyle name="Normal 5 2 3 2 5 3" xfId="5625" xr:uid="{00000000-0005-0000-0000-000078180000}"/>
    <cellStyle name="Normal 5 2 3 2 5 3 2" xfId="14064" xr:uid="{36CB271B-DD66-421D-996A-F7326AC762DA}"/>
    <cellStyle name="Normal 5 2 3 2 5 4" xfId="9846" xr:uid="{565E83FB-398F-4457-AB9E-63A75E5609BA}"/>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1F839EDD-2394-4722-8350-7CDB018C873A}"/>
    <cellStyle name="Normal 5 2 3 2 6 2 3" xfId="12404" xr:uid="{71253B6E-6DC4-46A0-91B4-51BCCDCF2B2F}"/>
    <cellStyle name="Normal 5 2 3 2 6 3" xfId="6038" xr:uid="{00000000-0005-0000-0000-00007C180000}"/>
    <cellStyle name="Normal 5 2 3 2 6 3 2" xfId="14477" xr:uid="{BEE7BCF2-9B25-4389-A199-7679E378A1AA}"/>
    <cellStyle name="Normal 5 2 3 2 6 4" xfId="10259" xr:uid="{BE6A1709-BD5D-46B0-A20E-6F61739E4AD3}"/>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B2527C5A-9AB1-486E-9A3D-B64749D1B728}"/>
    <cellStyle name="Normal 5 2 3 2 7 2 3" xfId="12817" xr:uid="{F13B2462-02A6-4746-865A-15F24FF1ED89}"/>
    <cellStyle name="Normal 5 2 3 2 7 3" xfId="6451" xr:uid="{00000000-0005-0000-0000-000080180000}"/>
    <cellStyle name="Normal 5 2 3 2 7 3 2" xfId="14890" xr:uid="{34230E04-34EB-4A48-B12F-DFBC2D398144}"/>
    <cellStyle name="Normal 5 2 3 2 7 4" xfId="10672" xr:uid="{F08C3DA7-F6A3-47EC-BA40-9FAB959929F4}"/>
    <cellStyle name="Normal 5 2 3 2 8" xfId="2580" xr:uid="{00000000-0005-0000-0000-000081180000}"/>
    <cellStyle name="Normal 5 2 3 2 8 2" xfId="6864" xr:uid="{00000000-0005-0000-0000-000082180000}"/>
    <cellStyle name="Normal 5 2 3 2 8 2 2" xfId="15303" xr:uid="{C6FA2BFE-BBCA-4413-9E7A-9395158CC5BC}"/>
    <cellStyle name="Normal 5 2 3 2 8 3" xfId="11085" xr:uid="{5209590F-6EB5-44BE-9154-6B5CC791D5ED}"/>
    <cellStyle name="Normal 5 2 3 2 9" xfId="4799" xr:uid="{00000000-0005-0000-0000-000083180000}"/>
    <cellStyle name="Normal 5 2 3 2 9 2" xfId="13238" xr:uid="{2EC240EF-91EC-4E92-BF33-C833446B36FE}"/>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555A18E8-1563-4F1D-8917-A737C38ABAB7}"/>
    <cellStyle name="Normal 5 2 3 3 2 2 2 3" xfId="11583" xr:uid="{E7ECAEF6-54F3-4A93-B9E5-BE8EDCAE36F8}"/>
    <cellStyle name="Normal 5 2 3 3 2 2 3" xfId="5217" xr:uid="{00000000-0005-0000-0000-000089180000}"/>
    <cellStyle name="Normal 5 2 3 3 2 2 3 2" xfId="13656" xr:uid="{1A5412F7-0CC6-4C2E-8D04-BC0AA5055579}"/>
    <cellStyle name="Normal 5 2 3 3 2 2 4" xfId="9438" xr:uid="{68CA5E2F-647C-4AD8-8DB0-1C60F546B341}"/>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E3EBC48E-CC90-4624-ABBA-C90879655739}"/>
    <cellStyle name="Normal 5 2 3 3 2 3 2 3" xfId="11996" xr:uid="{E2B1F669-57B5-4525-B5C1-EC79A2A6CE2F}"/>
    <cellStyle name="Normal 5 2 3 3 2 3 3" xfId="5630" xr:uid="{00000000-0005-0000-0000-00008D180000}"/>
    <cellStyle name="Normal 5 2 3 3 2 3 3 2" xfId="14069" xr:uid="{89CD4CCA-EFD9-42CC-B246-FBB2BA901E2B}"/>
    <cellStyle name="Normal 5 2 3 3 2 3 4" xfId="9851" xr:uid="{F0B6E22F-B053-4B02-9111-E49F3B9F2D56}"/>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D9BB44A1-A7F6-45C7-8257-5AD890485756}"/>
    <cellStyle name="Normal 5 2 3 3 2 4 2 3" xfId="12409" xr:uid="{EE98F882-4372-4AAC-87F0-9C55CE10B1EB}"/>
    <cellStyle name="Normal 5 2 3 3 2 4 3" xfId="6043" xr:uid="{00000000-0005-0000-0000-000091180000}"/>
    <cellStyle name="Normal 5 2 3 3 2 4 3 2" xfId="14482" xr:uid="{D850392E-7D39-414D-A44B-F2A93EED9E74}"/>
    <cellStyle name="Normal 5 2 3 3 2 4 4" xfId="10264" xr:uid="{767E0848-00E4-420E-A0D7-5FF8604CB61A}"/>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5EB5DD83-5206-4E1A-9167-9B957DC4A023}"/>
    <cellStyle name="Normal 5 2 3 3 2 5 2 3" xfId="12822" xr:uid="{1FB4693F-2736-4594-AD03-FE8CFBB5E46C}"/>
    <cellStyle name="Normal 5 2 3 3 2 5 3" xfId="6456" xr:uid="{00000000-0005-0000-0000-000095180000}"/>
    <cellStyle name="Normal 5 2 3 3 2 5 3 2" xfId="14895" xr:uid="{5074630E-7BB5-4084-A25A-FFFFD2ECEC13}"/>
    <cellStyle name="Normal 5 2 3 3 2 5 4" xfId="10677" xr:uid="{E4BEA05D-CE4B-4FA7-A8C1-055F0178E70F}"/>
    <cellStyle name="Normal 5 2 3 3 2 6" xfId="2585" xr:uid="{00000000-0005-0000-0000-000096180000}"/>
    <cellStyle name="Normal 5 2 3 3 2 6 2" xfId="6869" xr:uid="{00000000-0005-0000-0000-000097180000}"/>
    <cellStyle name="Normal 5 2 3 3 2 6 2 2" xfId="15308" xr:uid="{8F04BD06-0DE4-4E94-93F5-F0FF341C5D73}"/>
    <cellStyle name="Normal 5 2 3 3 2 6 3" xfId="11090" xr:uid="{B25294CE-586D-4854-93C0-26C92F8BFD82}"/>
    <cellStyle name="Normal 5 2 3 3 2 7" xfId="4804" xr:uid="{00000000-0005-0000-0000-000098180000}"/>
    <cellStyle name="Normal 5 2 3 3 2 7 2" xfId="13243" xr:uid="{C451B581-AAB6-4011-980F-1A144DBFCB80}"/>
    <cellStyle name="Normal 5 2 3 3 2 8" xfId="9025" xr:uid="{295A7EE3-9D3C-45F5-AA24-C70513696457}"/>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E086BC75-A69B-48E2-B3B4-3E81AE5BD825}"/>
    <cellStyle name="Normal 5 2 3 3 3 2 3" xfId="11582" xr:uid="{FC2D7296-3FE8-4FCB-B073-1C96BBA1C233}"/>
    <cellStyle name="Normal 5 2 3 3 3 3" xfId="5216" xr:uid="{00000000-0005-0000-0000-00009C180000}"/>
    <cellStyle name="Normal 5 2 3 3 3 3 2" xfId="13655" xr:uid="{1AD8E122-3277-424F-959E-84ABF296139D}"/>
    <cellStyle name="Normal 5 2 3 3 3 4" xfId="9437" xr:uid="{0CF4CEBB-915F-4BB7-A103-166D3B642D6D}"/>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AC94EFDD-6A4F-4D89-A80E-D84B4AAF22B2}"/>
    <cellStyle name="Normal 5 2 3 3 4 2 3" xfId="11995" xr:uid="{CF938C4A-35DF-4E2A-A6CE-B7612F1BD162}"/>
    <cellStyle name="Normal 5 2 3 3 4 3" xfId="5629" xr:uid="{00000000-0005-0000-0000-0000A0180000}"/>
    <cellStyle name="Normal 5 2 3 3 4 3 2" xfId="14068" xr:uid="{F1FF597E-7185-4FB6-B27E-811771A1E5B9}"/>
    <cellStyle name="Normal 5 2 3 3 4 4" xfId="9850" xr:uid="{5C8EADAF-CC0D-4D54-AA5C-E8F671E1E623}"/>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71D13364-8A9D-4D86-801B-E11B0F6CBD1A}"/>
    <cellStyle name="Normal 5 2 3 3 5 2 3" xfId="12408" xr:uid="{899713F2-5575-4AA7-A3D2-16142CAD1A84}"/>
    <cellStyle name="Normal 5 2 3 3 5 3" xfId="6042" xr:uid="{00000000-0005-0000-0000-0000A4180000}"/>
    <cellStyle name="Normal 5 2 3 3 5 3 2" xfId="14481" xr:uid="{6103E1DD-244C-4A77-89F8-0C6E2BCA5AD6}"/>
    <cellStyle name="Normal 5 2 3 3 5 4" xfId="10263" xr:uid="{3214F6E2-2DC5-491E-A68F-2E621BBCBACF}"/>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BC3C1F7C-0796-4234-8BA5-BF4FD3FA2A64}"/>
    <cellStyle name="Normal 5 2 3 3 6 2 3" xfId="12821" xr:uid="{2E61C9D2-066C-4451-9C6E-66C16109F917}"/>
    <cellStyle name="Normal 5 2 3 3 6 3" xfId="6455" xr:uid="{00000000-0005-0000-0000-0000A8180000}"/>
    <cellStyle name="Normal 5 2 3 3 6 3 2" xfId="14894" xr:uid="{9E9D086F-8F29-46C3-8204-D7CEA35665AF}"/>
    <cellStyle name="Normal 5 2 3 3 6 4" xfId="10676" xr:uid="{88084CF7-D661-45CF-B10D-11C38B96B992}"/>
    <cellStyle name="Normal 5 2 3 3 7" xfId="2584" xr:uid="{00000000-0005-0000-0000-0000A9180000}"/>
    <cellStyle name="Normal 5 2 3 3 7 2" xfId="6868" xr:uid="{00000000-0005-0000-0000-0000AA180000}"/>
    <cellStyle name="Normal 5 2 3 3 7 2 2" xfId="15307" xr:uid="{7AA363C0-8D1D-4546-85AA-3D4DAD431204}"/>
    <cellStyle name="Normal 5 2 3 3 7 3" xfId="11089" xr:uid="{886AD1AE-7313-4069-93B7-7B2B5512C2F7}"/>
    <cellStyle name="Normal 5 2 3 3 8" xfId="4803" xr:uid="{00000000-0005-0000-0000-0000AB180000}"/>
    <cellStyle name="Normal 5 2 3 3 8 2" xfId="13242" xr:uid="{BC91EA20-885E-4ACB-8860-6FA64480EEFE}"/>
    <cellStyle name="Normal 5 2 3 3 9" xfId="9024" xr:uid="{3A2EC4DE-A960-40A6-996A-26732B896085}"/>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7C3E1FBC-3B16-449C-B196-D914E03BBBFB}"/>
    <cellStyle name="Normal 5 2 3 4 2 2 3" xfId="11584" xr:uid="{2922E750-8545-4CF5-A0A3-FE50152E8F70}"/>
    <cellStyle name="Normal 5 2 3 4 2 3" xfId="5218" xr:uid="{00000000-0005-0000-0000-0000B0180000}"/>
    <cellStyle name="Normal 5 2 3 4 2 3 2" xfId="13657" xr:uid="{3F488042-2FB7-4A2B-A4C8-1ADEADC84A69}"/>
    <cellStyle name="Normal 5 2 3 4 2 4" xfId="9439" xr:uid="{F86BD36A-9AD9-4D39-88F4-79A7F35008BB}"/>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5C2EF73B-2C14-43F0-8D60-44237E81B06D}"/>
    <cellStyle name="Normal 5 2 3 4 3 2 3" xfId="11997" xr:uid="{E64FF721-7E8C-43AA-A3E1-AA1B42053C9D}"/>
    <cellStyle name="Normal 5 2 3 4 3 3" xfId="5631" xr:uid="{00000000-0005-0000-0000-0000B4180000}"/>
    <cellStyle name="Normal 5 2 3 4 3 3 2" xfId="14070" xr:uid="{ADE1B5C2-5D69-48F8-904C-72AD79020A3A}"/>
    <cellStyle name="Normal 5 2 3 4 3 4" xfId="9852" xr:uid="{1AB5BDB3-A543-400A-9ACA-99B9940A69F2}"/>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490138AF-BE13-41A4-A56C-60B9CD6626DD}"/>
    <cellStyle name="Normal 5 2 3 4 4 2 3" xfId="12410" xr:uid="{66C8F06C-6729-4E6B-B111-D75FE501F0DE}"/>
    <cellStyle name="Normal 5 2 3 4 4 3" xfId="6044" xr:uid="{00000000-0005-0000-0000-0000B8180000}"/>
    <cellStyle name="Normal 5 2 3 4 4 3 2" xfId="14483" xr:uid="{8AF81210-A024-421D-9123-2C6FB0F569C4}"/>
    <cellStyle name="Normal 5 2 3 4 4 4" xfId="10265" xr:uid="{8D77B504-664D-4EFB-8191-F101DEAD0E9F}"/>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2FAFE3DC-6B92-4EF5-A167-7D7D11871B5B}"/>
    <cellStyle name="Normal 5 2 3 4 5 2 3" xfId="12823" xr:uid="{3D6464E6-6C12-4054-811D-A58982634C78}"/>
    <cellStyle name="Normal 5 2 3 4 5 3" xfId="6457" xr:uid="{00000000-0005-0000-0000-0000BC180000}"/>
    <cellStyle name="Normal 5 2 3 4 5 3 2" xfId="14896" xr:uid="{53E1106E-D72D-44B2-A548-CE68AB62B4C7}"/>
    <cellStyle name="Normal 5 2 3 4 5 4" xfId="10678" xr:uid="{CC109E5F-E2A6-4877-B199-D50BA148C867}"/>
    <cellStyle name="Normal 5 2 3 4 6" xfId="2586" xr:uid="{00000000-0005-0000-0000-0000BD180000}"/>
    <cellStyle name="Normal 5 2 3 4 6 2" xfId="6870" xr:uid="{00000000-0005-0000-0000-0000BE180000}"/>
    <cellStyle name="Normal 5 2 3 4 6 2 2" xfId="15309" xr:uid="{7D7911D6-0508-452A-9225-D06BE9CA9240}"/>
    <cellStyle name="Normal 5 2 3 4 6 3" xfId="11091" xr:uid="{B917BFD6-CD3B-437C-8129-72EE2787D71D}"/>
    <cellStyle name="Normal 5 2 3 4 7" xfId="4805" xr:uid="{00000000-0005-0000-0000-0000BF180000}"/>
    <cellStyle name="Normal 5 2 3 4 7 2" xfId="13244" xr:uid="{798C2805-E4B3-411D-8A4E-0B39142669E6}"/>
    <cellStyle name="Normal 5 2 3 4 8" xfId="9026" xr:uid="{DC1EBCFD-F44E-45C5-9FB6-44AFCBECC032}"/>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1EFD23F0-DA9E-42BC-9831-394F04965344}"/>
    <cellStyle name="Normal 5 2 3 5 2 3" xfId="11577" xr:uid="{93F6E7D6-309E-4396-A8AD-58BC76F3F7EC}"/>
    <cellStyle name="Normal 5 2 3 5 3" xfId="5211" xr:uid="{00000000-0005-0000-0000-0000C3180000}"/>
    <cellStyle name="Normal 5 2 3 5 3 2" xfId="13650" xr:uid="{886E7B33-9292-4ED0-B57E-F6C799A663B9}"/>
    <cellStyle name="Normal 5 2 3 5 4" xfId="9432" xr:uid="{D224C0AC-0B29-4F19-A5E0-205229DF49F6}"/>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A5F607C4-0031-4DDD-8264-CDD140EC0068}"/>
    <cellStyle name="Normal 5 2 3 6 2 3" xfId="11990" xr:uid="{91794A14-EF5F-42BD-A9BB-FE71E0CFD783}"/>
    <cellStyle name="Normal 5 2 3 6 3" xfId="5624" xr:uid="{00000000-0005-0000-0000-0000C7180000}"/>
    <cellStyle name="Normal 5 2 3 6 3 2" xfId="14063" xr:uid="{CCC05075-5C6C-4F19-9CFF-18FD0B0E1AC9}"/>
    <cellStyle name="Normal 5 2 3 6 4" xfId="9845" xr:uid="{296EF0EA-0820-4835-BF62-5CE46CD99794}"/>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4D92E76C-5754-4463-AB65-D76109A3CA14}"/>
    <cellStyle name="Normal 5 2 3 7 2 3" xfId="12403" xr:uid="{6AE32FAA-22CB-48D9-BEE5-2338FA3820BD}"/>
    <cellStyle name="Normal 5 2 3 7 3" xfId="6037" xr:uid="{00000000-0005-0000-0000-0000CB180000}"/>
    <cellStyle name="Normal 5 2 3 7 3 2" xfId="14476" xr:uid="{AD4888AB-4460-49AB-897B-B144D2BC253B}"/>
    <cellStyle name="Normal 5 2 3 7 4" xfId="10258" xr:uid="{EC84C7F0-B5FC-4B20-950C-4730AB91C635}"/>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1A8207D1-4353-4281-ABD5-AC453156615F}"/>
    <cellStyle name="Normal 5 2 3 8 2 3" xfId="12816" xr:uid="{F3721A98-DAB9-43C3-AEE4-1FD1C1E03F8F}"/>
    <cellStyle name="Normal 5 2 3 8 3" xfId="6450" xr:uid="{00000000-0005-0000-0000-0000CF180000}"/>
    <cellStyle name="Normal 5 2 3 8 3 2" xfId="14889" xr:uid="{BC9F35E2-FD11-4810-BF57-4D8254D64A61}"/>
    <cellStyle name="Normal 5 2 3 8 4" xfId="10671" xr:uid="{7B6579FD-B4F5-4003-8D28-67290DE0C4DE}"/>
    <cellStyle name="Normal 5 2 3 9" xfId="2579" xr:uid="{00000000-0005-0000-0000-0000D0180000}"/>
    <cellStyle name="Normal 5 2 3 9 2" xfId="6863" xr:uid="{00000000-0005-0000-0000-0000D1180000}"/>
    <cellStyle name="Normal 5 2 3 9 2 2" xfId="15302" xr:uid="{BD4987CC-A921-4ACC-9A09-CF6FA687C761}"/>
    <cellStyle name="Normal 5 2 3 9 3" xfId="11084" xr:uid="{62FCA39C-FDFE-407E-B5D1-D23913039F56}"/>
    <cellStyle name="Normal 5 2 4" xfId="432" xr:uid="{00000000-0005-0000-0000-0000D2180000}"/>
    <cellStyle name="Normal 5 2 4 10" xfId="9027" xr:uid="{014D1346-0C52-49D8-8E52-18F717AE9125}"/>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81A81BA8-D9B6-43DD-83B2-304698727002}"/>
    <cellStyle name="Normal 5 2 4 2 2 2 2 3" xfId="11587" xr:uid="{740E0F19-2E18-4E7D-9DAB-42AE333F540C}"/>
    <cellStyle name="Normal 5 2 4 2 2 2 3" xfId="5221" xr:uid="{00000000-0005-0000-0000-0000D8180000}"/>
    <cellStyle name="Normal 5 2 4 2 2 2 3 2" xfId="13660" xr:uid="{184EEDD4-D1F5-4730-ADC2-CB95A2D812EE}"/>
    <cellStyle name="Normal 5 2 4 2 2 2 4" xfId="9442" xr:uid="{992D0761-560D-4EB7-A8E5-4EE359BE1955}"/>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67FAEE1D-2A4E-4496-991E-C53998AAE152}"/>
    <cellStyle name="Normal 5 2 4 2 2 3 2 3" xfId="12000" xr:uid="{52BED61D-55A1-4F50-898C-B851E5577995}"/>
    <cellStyle name="Normal 5 2 4 2 2 3 3" xfId="5634" xr:uid="{00000000-0005-0000-0000-0000DC180000}"/>
    <cellStyle name="Normal 5 2 4 2 2 3 3 2" xfId="14073" xr:uid="{04FC9FC1-F6D4-4B18-9A3C-A259EA15B10F}"/>
    <cellStyle name="Normal 5 2 4 2 2 3 4" xfId="9855" xr:uid="{9E7B2C4D-AE37-4BFC-85A1-AD45F071C14B}"/>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5A2D02C8-6B7B-47B9-837D-DA9CCFA0D1CA}"/>
    <cellStyle name="Normal 5 2 4 2 2 4 2 3" xfId="12413" xr:uid="{60C9AFBE-3E9A-427D-BE48-1B912598C690}"/>
    <cellStyle name="Normal 5 2 4 2 2 4 3" xfId="6047" xr:uid="{00000000-0005-0000-0000-0000E0180000}"/>
    <cellStyle name="Normal 5 2 4 2 2 4 3 2" xfId="14486" xr:uid="{D8B3F5EC-83BA-43A1-9D89-F57A13A41590}"/>
    <cellStyle name="Normal 5 2 4 2 2 4 4" xfId="10268" xr:uid="{65D8722E-B2E3-410B-9310-F104E1CFAEB1}"/>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195D3457-48C9-463B-A908-34B94531989D}"/>
    <cellStyle name="Normal 5 2 4 2 2 5 2 3" xfId="12826" xr:uid="{27273280-C0E7-436D-ACB3-EBB1CC70439C}"/>
    <cellStyle name="Normal 5 2 4 2 2 5 3" xfId="6460" xr:uid="{00000000-0005-0000-0000-0000E4180000}"/>
    <cellStyle name="Normal 5 2 4 2 2 5 3 2" xfId="14899" xr:uid="{FBE0E31C-161F-4368-8E96-06AB9CE5B0D3}"/>
    <cellStyle name="Normal 5 2 4 2 2 5 4" xfId="10681" xr:uid="{7EDBD86A-A9F1-44F1-B5C5-1C126A3F9137}"/>
    <cellStyle name="Normal 5 2 4 2 2 6" xfId="2589" xr:uid="{00000000-0005-0000-0000-0000E5180000}"/>
    <cellStyle name="Normal 5 2 4 2 2 6 2" xfId="6873" xr:uid="{00000000-0005-0000-0000-0000E6180000}"/>
    <cellStyle name="Normal 5 2 4 2 2 6 2 2" xfId="15312" xr:uid="{071BF902-AAF3-4D11-88BE-C1C0332DABD8}"/>
    <cellStyle name="Normal 5 2 4 2 2 6 3" xfId="11094" xr:uid="{09EA9112-07AA-4055-866B-34EA9BB0C11A}"/>
    <cellStyle name="Normal 5 2 4 2 2 7" xfId="4808" xr:uid="{00000000-0005-0000-0000-0000E7180000}"/>
    <cellStyle name="Normal 5 2 4 2 2 7 2" xfId="13247" xr:uid="{3FAE91AC-E230-4D41-8D8C-35AC1905B4A5}"/>
    <cellStyle name="Normal 5 2 4 2 2 8" xfId="9029" xr:uid="{588E89B6-5BA1-4082-840E-9C0FFB1BC24C}"/>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F57D3E8E-515D-4C39-B526-F8810F1B8DA8}"/>
    <cellStyle name="Normal 5 2 4 2 3 2 3" xfId="11586" xr:uid="{6F3F7CAC-D219-4A77-93BE-7A9D8279EC1D}"/>
    <cellStyle name="Normal 5 2 4 2 3 3" xfId="5220" xr:uid="{00000000-0005-0000-0000-0000EB180000}"/>
    <cellStyle name="Normal 5 2 4 2 3 3 2" xfId="13659" xr:uid="{BE428CE3-2F81-47FC-8D77-37E979FF4CAE}"/>
    <cellStyle name="Normal 5 2 4 2 3 4" xfId="9441" xr:uid="{C83BA545-C916-4C84-867F-822B6511570D}"/>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90B2329A-51CF-4124-A265-46A0015C3185}"/>
    <cellStyle name="Normal 5 2 4 2 4 2 3" xfId="11999" xr:uid="{AC359EC1-1C17-4365-B02E-BEAA6381631E}"/>
    <cellStyle name="Normal 5 2 4 2 4 3" xfId="5633" xr:uid="{00000000-0005-0000-0000-0000EF180000}"/>
    <cellStyle name="Normal 5 2 4 2 4 3 2" xfId="14072" xr:uid="{58C4670D-A63D-4F5B-9917-0A9E6B94E9CC}"/>
    <cellStyle name="Normal 5 2 4 2 4 4" xfId="9854" xr:uid="{324B0280-80A8-434B-A3E5-38C63866B0A9}"/>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632CF278-2F95-427A-9610-476B311EF552}"/>
    <cellStyle name="Normal 5 2 4 2 5 2 3" xfId="12412" xr:uid="{E93110D8-B29C-41D2-B952-39E9E3A60BE3}"/>
    <cellStyle name="Normal 5 2 4 2 5 3" xfId="6046" xr:uid="{00000000-0005-0000-0000-0000F3180000}"/>
    <cellStyle name="Normal 5 2 4 2 5 3 2" xfId="14485" xr:uid="{B821CCE8-C05C-4CD4-8AD1-6D025FC4AB11}"/>
    <cellStyle name="Normal 5 2 4 2 5 4" xfId="10267" xr:uid="{19119A59-7BE1-4138-9F50-7434FAEA9236}"/>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B2E92EF7-9A57-40D1-B498-EC5922D776BC}"/>
    <cellStyle name="Normal 5 2 4 2 6 2 3" xfId="12825" xr:uid="{4BDBD181-B077-42CF-BC4A-888FFFEBF6D1}"/>
    <cellStyle name="Normal 5 2 4 2 6 3" xfId="6459" xr:uid="{00000000-0005-0000-0000-0000F7180000}"/>
    <cellStyle name="Normal 5 2 4 2 6 3 2" xfId="14898" xr:uid="{87F8C51A-6625-4C5F-A0F3-02CA3CA9D914}"/>
    <cellStyle name="Normal 5 2 4 2 6 4" xfId="10680" xr:uid="{C3D6F4C5-4AF8-416F-983F-867B2B7B4F70}"/>
    <cellStyle name="Normal 5 2 4 2 7" xfId="2588" xr:uid="{00000000-0005-0000-0000-0000F8180000}"/>
    <cellStyle name="Normal 5 2 4 2 7 2" xfId="6872" xr:uid="{00000000-0005-0000-0000-0000F9180000}"/>
    <cellStyle name="Normal 5 2 4 2 7 2 2" xfId="15311" xr:uid="{1054CCA7-D910-493B-98DF-9BBC0B06A496}"/>
    <cellStyle name="Normal 5 2 4 2 7 3" xfId="11093" xr:uid="{A2CFC7B1-21A8-4ED0-88A3-FADBA97A5ABE}"/>
    <cellStyle name="Normal 5 2 4 2 8" xfId="4807" xr:uid="{00000000-0005-0000-0000-0000FA180000}"/>
    <cellStyle name="Normal 5 2 4 2 8 2" xfId="13246" xr:uid="{EFDC4F3A-3FB2-4C45-82AF-4161012E49EC}"/>
    <cellStyle name="Normal 5 2 4 2 9" xfId="9028" xr:uid="{ED36A50B-5DB6-42A9-8626-4905A902F7B7}"/>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BB852F4B-F38B-46DF-ADC7-C89DA48FDD89}"/>
    <cellStyle name="Normal 5 2 4 3 2 2 3" xfId="11588" xr:uid="{E8C8AD50-ED04-4B21-A0D3-C05AD3D240A7}"/>
    <cellStyle name="Normal 5 2 4 3 2 3" xfId="5222" xr:uid="{00000000-0005-0000-0000-0000FF180000}"/>
    <cellStyle name="Normal 5 2 4 3 2 3 2" xfId="13661" xr:uid="{B8077859-83B9-4766-A5E1-4CCD0AE02AE9}"/>
    <cellStyle name="Normal 5 2 4 3 2 4" xfId="9443" xr:uid="{CDD3BE58-571C-4EE7-9CB9-3A9F1B58606D}"/>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89FDF5F9-1992-46DE-8CD8-5BBDD8A07007}"/>
    <cellStyle name="Normal 5 2 4 3 3 2 3" xfId="12001" xr:uid="{A613BEE8-DD74-4E30-B85E-EF1A456CB17E}"/>
    <cellStyle name="Normal 5 2 4 3 3 3" xfId="5635" xr:uid="{00000000-0005-0000-0000-000003190000}"/>
    <cellStyle name="Normal 5 2 4 3 3 3 2" xfId="14074" xr:uid="{5207BBC4-5AE2-45F8-BCAF-0C9B8E12B6A0}"/>
    <cellStyle name="Normal 5 2 4 3 3 4" xfId="9856" xr:uid="{960E9E53-D54D-4C95-9450-5E8C0A5C14B3}"/>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2594329E-14C9-4534-A23D-8973E5CAEED7}"/>
    <cellStyle name="Normal 5 2 4 3 4 2 3" xfId="12414" xr:uid="{995CA079-FE2D-480B-AAB3-22245ED378DD}"/>
    <cellStyle name="Normal 5 2 4 3 4 3" xfId="6048" xr:uid="{00000000-0005-0000-0000-000007190000}"/>
    <cellStyle name="Normal 5 2 4 3 4 3 2" xfId="14487" xr:uid="{723ACDE0-8635-49B1-B4F4-9E5725F41AAD}"/>
    <cellStyle name="Normal 5 2 4 3 4 4" xfId="10269" xr:uid="{0966B2BF-C187-4249-A61E-2702BB02A0A6}"/>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C2439C36-3632-48BA-9336-F896C26B23E3}"/>
    <cellStyle name="Normal 5 2 4 3 5 2 3" xfId="12827" xr:uid="{EA88876B-1EE6-42B8-9035-1725A067C7F4}"/>
    <cellStyle name="Normal 5 2 4 3 5 3" xfId="6461" xr:uid="{00000000-0005-0000-0000-00000B190000}"/>
    <cellStyle name="Normal 5 2 4 3 5 3 2" xfId="14900" xr:uid="{7F4F8ABE-0F17-480B-9FBD-2F5CCCA382E1}"/>
    <cellStyle name="Normal 5 2 4 3 5 4" xfId="10682" xr:uid="{FB334496-C33F-4D71-986D-6036B70F7DA8}"/>
    <cellStyle name="Normal 5 2 4 3 6" xfId="2590" xr:uid="{00000000-0005-0000-0000-00000C190000}"/>
    <cellStyle name="Normal 5 2 4 3 6 2" xfId="6874" xr:uid="{00000000-0005-0000-0000-00000D190000}"/>
    <cellStyle name="Normal 5 2 4 3 6 2 2" xfId="15313" xr:uid="{174FA487-425C-475F-BE91-B2878313B38D}"/>
    <cellStyle name="Normal 5 2 4 3 6 3" xfId="11095" xr:uid="{4D6E0D1E-489F-40CB-9487-ED43B38A0452}"/>
    <cellStyle name="Normal 5 2 4 3 7" xfId="4809" xr:uid="{00000000-0005-0000-0000-00000E190000}"/>
    <cellStyle name="Normal 5 2 4 3 7 2" xfId="13248" xr:uid="{0E0D36D7-F0CE-4EDA-BF57-44849A78BF19}"/>
    <cellStyle name="Normal 5 2 4 3 8" xfId="9030" xr:uid="{D721FE67-F203-42A0-AEFB-56A2B8A1BB9A}"/>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6A3EF5FC-F27E-47B5-9ECD-704CF53E635F}"/>
    <cellStyle name="Normal 5 2 4 4 2 3" xfId="11585" xr:uid="{708E9427-5CDE-4E0C-89B6-68714040E241}"/>
    <cellStyle name="Normal 5 2 4 4 3" xfId="5219" xr:uid="{00000000-0005-0000-0000-000012190000}"/>
    <cellStyle name="Normal 5 2 4 4 3 2" xfId="13658" xr:uid="{AD9E06E8-5EB7-46A5-8061-43DD548BB70D}"/>
    <cellStyle name="Normal 5 2 4 4 4" xfId="9440" xr:uid="{69D0CDE4-A163-41E9-94C9-786AADA4B88B}"/>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3011011B-2169-4CEB-B8A2-965277AAACF1}"/>
    <cellStyle name="Normal 5 2 4 5 2 3" xfId="11998" xr:uid="{510600B4-A389-4FCC-A0AA-6826B4DA8F2D}"/>
    <cellStyle name="Normal 5 2 4 5 3" xfId="5632" xr:uid="{00000000-0005-0000-0000-000016190000}"/>
    <cellStyle name="Normal 5 2 4 5 3 2" xfId="14071" xr:uid="{25960294-FA47-4AB9-8067-14977BA141F6}"/>
    <cellStyle name="Normal 5 2 4 5 4" xfId="9853" xr:uid="{9F8BC4DF-05FB-436B-AEA6-8B15B28CDA2C}"/>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2B89511B-F3D1-41C9-8A5F-22A3044C0E31}"/>
    <cellStyle name="Normal 5 2 4 6 2 3" xfId="12411" xr:uid="{C3B8E61D-E6B5-4CA8-A3B6-9893E9B9C0BA}"/>
    <cellStyle name="Normal 5 2 4 6 3" xfId="6045" xr:uid="{00000000-0005-0000-0000-00001A190000}"/>
    <cellStyle name="Normal 5 2 4 6 3 2" xfId="14484" xr:uid="{5185CE2D-BA52-446D-8951-A93BDD34A3EB}"/>
    <cellStyle name="Normal 5 2 4 6 4" xfId="10266" xr:uid="{EE9F177E-CEA3-4B94-A2AD-EA2F537B85E6}"/>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596CC4E5-009D-45D7-852E-D008E9CD18C3}"/>
    <cellStyle name="Normal 5 2 4 7 2 3" xfId="12824" xr:uid="{FF9387F6-5DAB-4A35-9E61-2C38C6F60237}"/>
    <cellStyle name="Normal 5 2 4 7 3" xfId="6458" xr:uid="{00000000-0005-0000-0000-00001E190000}"/>
    <cellStyle name="Normal 5 2 4 7 3 2" xfId="14897" xr:uid="{2D643CAA-7585-4DBD-8C34-9A78ABB09EAA}"/>
    <cellStyle name="Normal 5 2 4 7 4" xfId="10679" xr:uid="{D600D68A-C63E-458F-B4B7-5CDE41764779}"/>
    <cellStyle name="Normal 5 2 4 8" xfId="2587" xr:uid="{00000000-0005-0000-0000-00001F190000}"/>
    <cellStyle name="Normal 5 2 4 8 2" xfId="6871" xr:uid="{00000000-0005-0000-0000-000020190000}"/>
    <cellStyle name="Normal 5 2 4 8 2 2" xfId="15310" xr:uid="{07D97FA4-AF92-4D8A-BE66-8FE21F6C3EAC}"/>
    <cellStyle name="Normal 5 2 4 8 3" xfId="11092" xr:uid="{B68C29BE-48AA-4537-90ED-E4F55033C53E}"/>
    <cellStyle name="Normal 5 2 4 9" xfId="4806" xr:uid="{00000000-0005-0000-0000-000021190000}"/>
    <cellStyle name="Normal 5 2 4 9 2" xfId="13245" xr:uid="{956C5456-7D40-40FF-8637-1E40CF94EC36}"/>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800225D1-C7CB-490A-A7B6-F737C556D247}"/>
    <cellStyle name="Normal 5 2 5 2 2 2 3" xfId="11590" xr:uid="{6F73527F-CF34-4DF4-A8C7-8AC7FBAAAC12}"/>
    <cellStyle name="Normal 5 2 5 2 2 3" xfId="5224" xr:uid="{00000000-0005-0000-0000-000027190000}"/>
    <cellStyle name="Normal 5 2 5 2 2 3 2" xfId="13663" xr:uid="{3374D85A-3396-4AA5-B157-8CEEE27C751E}"/>
    <cellStyle name="Normal 5 2 5 2 2 4" xfId="9445" xr:uid="{2C8F3348-B6A7-4025-A559-D8F76FDCE26E}"/>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B20400B5-B0EA-47A3-B3C5-7995930BBC7A}"/>
    <cellStyle name="Normal 5 2 5 2 3 2 3" xfId="12003" xr:uid="{A3916698-3687-4860-854A-61AB4F40602B}"/>
    <cellStyle name="Normal 5 2 5 2 3 3" xfId="5637" xr:uid="{00000000-0005-0000-0000-00002B190000}"/>
    <cellStyle name="Normal 5 2 5 2 3 3 2" xfId="14076" xr:uid="{CBCE9267-3AD9-45A5-B543-AC3073D32C36}"/>
    <cellStyle name="Normal 5 2 5 2 3 4" xfId="9858" xr:uid="{6CDCD469-996F-4CA0-8240-63C8E6A361BE}"/>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5893582E-1778-4D4E-97EF-FEDFA3A42682}"/>
    <cellStyle name="Normal 5 2 5 2 4 2 3" xfId="12416" xr:uid="{39172A31-ADA0-4EDE-98EB-A0D6561E6896}"/>
    <cellStyle name="Normal 5 2 5 2 4 3" xfId="6050" xr:uid="{00000000-0005-0000-0000-00002F190000}"/>
    <cellStyle name="Normal 5 2 5 2 4 3 2" xfId="14489" xr:uid="{5BF8BFF3-2BBC-418A-97C0-3082E44A972E}"/>
    <cellStyle name="Normal 5 2 5 2 4 4" xfId="10271" xr:uid="{53CE9D2D-62C3-41ED-8306-E0DBC26471BE}"/>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60190F5E-D0A5-43E9-BB43-A24634A67D84}"/>
    <cellStyle name="Normal 5 2 5 2 5 2 3" xfId="12829" xr:uid="{7D4E2BFE-519C-4A23-B67A-FE314680EDE5}"/>
    <cellStyle name="Normal 5 2 5 2 5 3" xfId="6463" xr:uid="{00000000-0005-0000-0000-000033190000}"/>
    <cellStyle name="Normal 5 2 5 2 5 3 2" xfId="14902" xr:uid="{665DF095-B41D-4975-9742-2792212D8E4A}"/>
    <cellStyle name="Normal 5 2 5 2 5 4" xfId="10684" xr:uid="{60DA1A75-9847-43B5-AF49-B1CB8162292F}"/>
    <cellStyle name="Normal 5 2 5 2 6" xfId="2592" xr:uid="{00000000-0005-0000-0000-000034190000}"/>
    <cellStyle name="Normal 5 2 5 2 6 2" xfId="6876" xr:uid="{00000000-0005-0000-0000-000035190000}"/>
    <cellStyle name="Normal 5 2 5 2 6 2 2" xfId="15315" xr:uid="{B8B525D5-EC24-43D0-8D95-E2C215358F1D}"/>
    <cellStyle name="Normal 5 2 5 2 6 3" xfId="11097" xr:uid="{2EBC2946-A9DF-4117-A47F-B4016A2F8D21}"/>
    <cellStyle name="Normal 5 2 5 2 7" xfId="4811" xr:uid="{00000000-0005-0000-0000-000036190000}"/>
    <cellStyle name="Normal 5 2 5 2 7 2" xfId="13250" xr:uid="{24C3AB6F-DA1E-458B-8D34-2476DCF09257}"/>
    <cellStyle name="Normal 5 2 5 2 8" xfId="9032" xr:uid="{4D1035B9-28D5-4AD8-A655-5E26AEA58781}"/>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E67C80EA-5DE8-43F0-A195-9F97FDD0B256}"/>
    <cellStyle name="Normal 5 2 5 3 2 3" xfId="11589" xr:uid="{30A84046-598B-4E66-8C1C-25E74A3366E4}"/>
    <cellStyle name="Normal 5 2 5 3 3" xfId="5223" xr:uid="{00000000-0005-0000-0000-00003A190000}"/>
    <cellStyle name="Normal 5 2 5 3 3 2" xfId="13662" xr:uid="{983AE57A-F7F8-41D8-852A-02605F2D59E1}"/>
    <cellStyle name="Normal 5 2 5 3 4" xfId="9444" xr:uid="{4B371166-961B-48DA-B4B4-F117F516F214}"/>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349B0DC8-17D1-4DE9-AD7B-3686694C1F7C}"/>
    <cellStyle name="Normal 5 2 5 4 2 3" xfId="12002" xr:uid="{1EE43964-0B8F-4938-A21C-EB005610D40B}"/>
    <cellStyle name="Normal 5 2 5 4 3" xfId="5636" xr:uid="{00000000-0005-0000-0000-00003E190000}"/>
    <cellStyle name="Normal 5 2 5 4 3 2" xfId="14075" xr:uid="{7D1E8117-CC62-4CC0-AA72-6356F20E4AB9}"/>
    <cellStyle name="Normal 5 2 5 4 4" xfId="9857" xr:uid="{B54E9A47-82C7-4178-8EA5-C13CCE8C1855}"/>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AC6C4BDD-1192-4010-AD6E-3A8DBB0672F0}"/>
    <cellStyle name="Normal 5 2 5 5 2 3" xfId="12415" xr:uid="{C1CE9B62-75B4-486E-9447-FB6534CA6D54}"/>
    <cellStyle name="Normal 5 2 5 5 3" xfId="6049" xr:uid="{00000000-0005-0000-0000-000042190000}"/>
    <cellStyle name="Normal 5 2 5 5 3 2" xfId="14488" xr:uid="{24A8ADBF-8A69-43A0-B752-53B584C0C73A}"/>
    <cellStyle name="Normal 5 2 5 5 4" xfId="10270" xr:uid="{83A264FD-77A7-4259-B3DD-62BAEA2E8008}"/>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03AA8A77-20BC-413A-94CA-216E2885CCFA}"/>
    <cellStyle name="Normal 5 2 5 6 2 3" xfId="12828" xr:uid="{9C78B14C-20C8-4E9C-8781-3E5A66F2AF07}"/>
    <cellStyle name="Normal 5 2 5 6 3" xfId="6462" xr:uid="{00000000-0005-0000-0000-000046190000}"/>
    <cellStyle name="Normal 5 2 5 6 3 2" xfId="14901" xr:uid="{8C05994A-F92D-44FD-A56E-49483BF7BA20}"/>
    <cellStyle name="Normal 5 2 5 6 4" xfId="10683" xr:uid="{8B84F4C8-E370-4647-9C03-A1B0C2661498}"/>
    <cellStyle name="Normal 5 2 5 7" xfId="2591" xr:uid="{00000000-0005-0000-0000-000047190000}"/>
    <cellStyle name="Normal 5 2 5 7 2" xfId="6875" xr:uid="{00000000-0005-0000-0000-000048190000}"/>
    <cellStyle name="Normal 5 2 5 7 2 2" xfId="15314" xr:uid="{E9DB2911-AF7C-4F1F-89A9-34C1B6D73AA0}"/>
    <cellStyle name="Normal 5 2 5 7 3" xfId="11096" xr:uid="{6FE787B4-EBFD-44ED-BB9E-E4C7C6949632}"/>
    <cellStyle name="Normal 5 2 5 8" xfId="4810" xr:uid="{00000000-0005-0000-0000-000049190000}"/>
    <cellStyle name="Normal 5 2 5 8 2" xfId="13249" xr:uid="{5AA9FF12-6481-4B90-8F84-35371BDB6A95}"/>
    <cellStyle name="Normal 5 2 5 9" xfId="9031" xr:uid="{E053F2BA-977A-4679-9669-042960B807DE}"/>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3BA82E8F-8CE6-4C9D-A340-7E4DB6D78B09}"/>
    <cellStyle name="Normal 5 2 6 2 2 3" xfId="11591" xr:uid="{FDBA875C-BD65-4887-BC1D-12F354800755}"/>
    <cellStyle name="Normal 5 2 6 2 3" xfId="5225" xr:uid="{00000000-0005-0000-0000-00004E190000}"/>
    <cellStyle name="Normal 5 2 6 2 3 2" xfId="13664" xr:uid="{1BCC8480-DDA8-4ADA-890E-420A78B8006A}"/>
    <cellStyle name="Normal 5 2 6 2 4" xfId="9446" xr:uid="{B566EF06-5A71-4FB7-83A6-0961A60418E6}"/>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08C03591-AFD3-4098-BE68-4CB80EF867C7}"/>
    <cellStyle name="Normal 5 2 6 3 2 3" xfId="12004" xr:uid="{209B80FB-CFAF-4496-A677-85AF61C4425F}"/>
    <cellStyle name="Normal 5 2 6 3 3" xfId="5638" xr:uid="{00000000-0005-0000-0000-000052190000}"/>
    <cellStyle name="Normal 5 2 6 3 3 2" xfId="14077" xr:uid="{BEBFD75D-D036-45A3-8056-8EF68207FA6D}"/>
    <cellStyle name="Normal 5 2 6 3 4" xfId="9859" xr:uid="{0231BF3E-5319-4DA5-9B66-3372F3C4055A}"/>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93E0EFC1-06F2-45AB-BF67-902A4E1C607B}"/>
    <cellStyle name="Normal 5 2 6 4 2 3" xfId="12417" xr:uid="{8D4BB004-A4EF-4D0A-B4FC-76C348EB2284}"/>
    <cellStyle name="Normal 5 2 6 4 3" xfId="6051" xr:uid="{00000000-0005-0000-0000-000056190000}"/>
    <cellStyle name="Normal 5 2 6 4 3 2" xfId="14490" xr:uid="{9E4D2F9B-C64E-41AA-AA89-1DD9E26F31DB}"/>
    <cellStyle name="Normal 5 2 6 4 4" xfId="10272" xr:uid="{029FF7A6-AD29-4C60-B67D-1A67ABF7B7DF}"/>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24399186-614D-4B72-9761-8DA1047D7B6B}"/>
    <cellStyle name="Normal 5 2 6 5 2 3" xfId="12830" xr:uid="{3E834E05-6014-436A-BA78-898D636AD78F}"/>
    <cellStyle name="Normal 5 2 6 5 3" xfId="6464" xr:uid="{00000000-0005-0000-0000-00005A190000}"/>
    <cellStyle name="Normal 5 2 6 5 3 2" xfId="14903" xr:uid="{8D3495FC-F560-4085-9FFB-40C96E13A97F}"/>
    <cellStyle name="Normal 5 2 6 5 4" xfId="10685" xr:uid="{CD006066-72ED-443A-8B38-B009DF82C44B}"/>
    <cellStyle name="Normal 5 2 6 6" xfId="2593" xr:uid="{00000000-0005-0000-0000-00005B190000}"/>
    <cellStyle name="Normal 5 2 6 6 2" xfId="6877" xr:uid="{00000000-0005-0000-0000-00005C190000}"/>
    <cellStyle name="Normal 5 2 6 6 2 2" xfId="15316" xr:uid="{E8E33363-450E-4A7B-AE78-8D8137282C28}"/>
    <cellStyle name="Normal 5 2 6 6 3" xfId="11098" xr:uid="{B97E0EDC-8958-402A-85D2-F4FDE8101D7E}"/>
    <cellStyle name="Normal 5 2 6 7" xfId="4812" xr:uid="{00000000-0005-0000-0000-00005D190000}"/>
    <cellStyle name="Normal 5 2 6 7 2" xfId="13251" xr:uid="{C174CCAD-4E99-43FF-ACA8-542214535EEF}"/>
    <cellStyle name="Normal 5 2 6 8" xfId="9033" xr:uid="{302E7B08-A557-47F1-87B7-8A826581972B}"/>
    <cellStyle name="Normal 5 2 7" xfId="881" xr:uid="{00000000-0005-0000-0000-00005E190000}"/>
    <cellStyle name="Normal 5 2 7 2" xfId="3116" xr:uid="{00000000-0005-0000-0000-00005F190000}"/>
    <cellStyle name="Normal 5 2 7 2 2" xfId="7339" xr:uid="{00000000-0005-0000-0000-000060190000}"/>
    <cellStyle name="Normal 5 2 7 2 2 2" xfId="15778" xr:uid="{CE0657EE-9AFF-4967-98EA-83DE0F2DC60C}"/>
    <cellStyle name="Normal 5 2 7 2 3" xfId="11560" xr:uid="{BE41A062-50B7-4E1A-9C2F-2E762993312E}"/>
    <cellStyle name="Normal 5 2 7 3" xfId="5194" xr:uid="{00000000-0005-0000-0000-000061190000}"/>
    <cellStyle name="Normal 5 2 7 3 2" xfId="13633" xr:uid="{172740DB-48CA-481B-9854-8C7723F9E48A}"/>
    <cellStyle name="Normal 5 2 7 4" xfId="9415" xr:uid="{265AB0F3-D6B0-45C8-A84D-83D62C53F748}"/>
    <cellStyle name="Normal 5 2 8" xfId="1299" xr:uid="{00000000-0005-0000-0000-000062190000}"/>
    <cellStyle name="Normal 5 2 8 2" xfId="3529" xr:uid="{00000000-0005-0000-0000-000063190000}"/>
    <cellStyle name="Normal 5 2 8 2 2" xfId="7752" xr:uid="{00000000-0005-0000-0000-000064190000}"/>
    <cellStyle name="Normal 5 2 8 2 2 2" xfId="16191" xr:uid="{0439A514-6568-4B4B-BCEB-44F09C62C81F}"/>
    <cellStyle name="Normal 5 2 8 2 3" xfId="11973" xr:uid="{C340BCC3-0763-459D-9A1C-52D4C79403D9}"/>
    <cellStyle name="Normal 5 2 8 3" xfId="5607" xr:uid="{00000000-0005-0000-0000-000065190000}"/>
    <cellStyle name="Normal 5 2 8 3 2" xfId="14046" xr:uid="{E6AD9B2C-9462-4BFC-85A3-3FD6C325C46D}"/>
    <cellStyle name="Normal 5 2 8 4" xfId="9828" xr:uid="{DEF279FC-3412-4D15-BF87-F1F24F0FDB6A}"/>
    <cellStyle name="Normal 5 2 9" xfId="1712" xr:uid="{00000000-0005-0000-0000-000066190000}"/>
    <cellStyle name="Normal 5 2 9 2" xfId="3942" xr:uid="{00000000-0005-0000-0000-000067190000}"/>
    <cellStyle name="Normal 5 2 9 2 2" xfId="8165" xr:uid="{00000000-0005-0000-0000-000068190000}"/>
    <cellStyle name="Normal 5 2 9 2 2 2" xfId="16604" xr:uid="{173E1D22-33D0-4C8E-8DA6-D1387F42C332}"/>
    <cellStyle name="Normal 5 2 9 2 3" xfId="12386" xr:uid="{B6FF76F4-B484-4943-A530-F05F10FC3CAE}"/>
    <cellStyle name="Normal 5 2 9 3" xfId="6020" xr:uid="{00000000-0005-0000-0000-000069190000}"/>
    <cellStyle name="Normal 5 2 9 3 2" xfId="14459" xr:uid="{A6E9EB85-C830-4CE2-8BAB-128417F07E83}"/>
    <cellStyle name="Normal 5 2 9 4" xfId="10241" xr:uid="{BD79A300-8C50-40EC-ABC2-A689F6274165}"/>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C2210EB5-AA7E-48D4-AABF-07B432EAAFC4}"/>
    <cellStyle name="Normal 5 3 10 2 3" xfId="12831" xr:uid="{1073D66A-E3A2-4AB0-A3DF-F8D6CE28AF9B}"/>
    <cellStyle name="Normal 5 3 10 3" xfId="6465" xr:uid="{00000000-0005-0000-0000-00006E190000}"/>
    <cellStyle name="Normal 5 3 10 3 2" xfId="14904" xr:uid="{0CFC63E3-5FDC-438F-9F40-6912EABE540F}"/>
    <cellStyle name="Normal 5 3 10 4" xfId="10686" xr:uid="{78986470-89A3-49E1-A088-68D36604FAA5}"/>
    <cellStyle name="Normal 5 3 11" xfId="2594" xr:uid="{00000000-0005-0000-0000-00006F190000}"/>
    <cellStyle name="Normal 5 3 11 2" xfId="6878" xr:uid="{00000000-0005-0000-0000-000070190000}"/>
    <cellStyle name="Normal 5 3 11 2 2" xfId="15317" xr:uid="{671C1DF3-8307-46AE-985A-8B8EC075CB48}"/>
    <cellStyle name="Normal 5 3 11 3" xfId="11099" xr:uid="{8359F4E4-2FA6-497F-A10A-10685AA75B1F}"/>
    <cellStyle name="Normal 5 3 12" xfId="4813" xr:uid="{00000000-0005-0000-0000-000071190000}"/>
    <cellStyle name="Normal 5 3 12 2" xfId="13252" xr:uid="{3B05347A-00B9-4CA8-AE6A-AE80F9D2949B}"/>
    <cellStyle name="Normal 5 3 13" xfId="9034" xr:uid="{756C1571-9C0E-4CA7-ABEC-2ABC908A8513}"/>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F45DFDCB-71B8-4236-8263-7CFDDC6A33B1}"/>
    <cellStyle name="Normal 5 3 3 11" xfId="9035" xr:uid="{4B226E83-F620-4ED9-A9F0-0782158B93FC}"/>
    <cellStyle name="Normal 5 3 3 2" xfId="442" xr:uid="{00000000-0005-0000-0000-000076190000}"/>
    <cellStyle name="Normal 5 3 3 2 10" xfId="9036" xr:uid="{6E297FC6-B527-4704-B630-CF99DF46F1F6}"/>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B73907F8-CCC5-4DDF-B206-3ECCD3E23F21}"/>
    <cellStyle name="Normal 5 3 3 2 2 2 2 2 3" xfId="11596" xr:uid="{3A5DCFE0-6362-491F-A8B2-34515B7BB521}"/>
    <cellStyle name="Normal 5 3 3 2 2 2 2 3" xfId="5230" xr:uid="{00000000-0005-0000-0000-00007C190000}"/>
    <cellStyle name="Normal 5 3 3 2 2 2 2 3 2" xfId="13669" xr:uid="{8A48AEEB-D2CE-4444-BF84-77CD31F760F7}"/>
    <cellStyle name="Normal 5 3 3 2 2 2 2 4" xfId="9451" xr:uid="{5BA3B329-642C-4B56-A8EA-95E64CB952B6}"/>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BEC49052-0318-4909-A14B-7BAB019250AE}"/>
    <cellStyle name="Normal 5 3 3 2 2 2 3 2 3" xfId="12009" xr:uid="{7AF3CC98-A8E3-4F3D-8424-907CA289F9E9}"/>
    <cellStyle name="Normal 5 3 3 2 2 2 3 3" xfId="5643" xr:uid="{00000000-0005-0000-0000-000080190000}"/>
    <cellStyle name="Normal 5 3 3 2 2 2 3 3 2" xfId="14082" xr:uid="{70D338AF-9740-4E2F-92CA-FC1D7A8FADC0}"/>
    <cellStyle name="Normal 5 3 3 2 2 2 3 4" xfId="9864" xr:uid="{140D70DC-12CB-4652-86A0-B636A6F0693A}"/>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99742F0F-E34A-4777-BBFB-42B8433A0D4A}"/>
    <cellStyle name="Normal 5 3 3 2 2 2 4 2 3" xfId="12422" xr:uid="{2C00F5D2-0264-4EDE-82C1-088E6CAF3666}"/>
    <cellStyle name="Normal 5 3 3 2 2 2 4 3" xfId="6056" xr:uid="{00000000-0005-0000-0000-000084190000}"/>
    <cellStyle name="Normal 5 3 3 2 2 2 4 3 2" xfId="14495" xr:uid="{1E1D08C2-C9A7-488A-8BC0-40CBF0D0FDEA}"/>
    <cellStyle name="Normal 5 3 3 2 2 2 4 4" xfId="10277" xr:uid="{691BA521-9621-46E8-B226-FF9D0574424F}"/>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5874AD1A-2B13-4851-90C6-78DF5016F4B9}"/>
    <cellStyle name="Normal 5 3 3 2 2 2 5 2 3" xfId="12835" xr:uid="{B1679E26-8531-4127-9698-9BA0511CEBCD}"/>
    <cellStyle name="Normal 5 3 3 2 2 2 5 3" xfId="6469" xr:uid="{00000000-0005-0000-0000-000088190000}"/>
    <cellStyle name="Normal 5 3 3 2 2 2 5 3 2" xfId="14908" xr:uid="{F1EA1ABD-B28C-4BCE-B5F3-32948A56DCBE}"/>
    <cellStyle name="Normal 5 3 3 2 2 2 5 4" xfId="10690" xr:uid="{97521C4A-8491-429A-BAA4-702FB7DE5859}"/>
    <cellStyle name="Normal 5 3 3 2 2 2 6" xfId="2598" xr:uid="{00000000-0005-0000-0000-000089190000}"/>
    <cellStyle name="Normal 5 3 3 2 2 2 6 2" xfId="6882" xr:uid="{00000000-0005-0000-0000-00008A190000}"/>
    <cellStyle name="Normal 5 3 3 2 2 2 6 2 2" xfId="15321" xr:uid="{3650ADBA-A9B2-4F4E-8E0A-99D59D3ACDC6}"/>
    <cellStyle name="Normal 5 3 3 2 2 2 6 3" xfId="11103" xr:uid="{5FD3D248-7642-437F-BF4E-3F64F4871FB1}"/>
    <cellStyle name="Normal 5 3 3 2 2 2 7" xfId="4817" xr:uid="{00000000-0005-0000-0000-00008B190000}"/>
    <cellStyle name="Normal 5 3 3 2 2 2 7 2" xfId="13256" xr:uid="{582B9950-0B87-469E-A93B-7BE2BAD83827}"/>
    <cellStyle name="Normal 5 3 3 2 2 2 8" xfId="9038" xr:uid="{B855106A-1309-47DD-AC4B-3518339B6D1F}"/>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50DE315D-4306-4ED6-B8E8-667F35B0C85E}"/>
    <cellStyle name="Normal 5 3 3 2 2 3 2 3" xfId="11595" xr:uid="{840CF41F-8B5B-4558-B989-C24624B17BCC}"/>
    <cellStyle name="Normal 5 3 3 2 2 3 3" xfId="5229" xr:uid="{00000000-0005-0000-0000-00008F190000}"/>
    <cellStyle name="Normal 5 3 3 2 2 3 3 2" xfId="13668" xr:uid="{05CF9026-EFEB-49EA-BBB0-DA3875B0A26A}"/>
    <cellStyle name="Normal 5 3 3 2 2 3 4" xfId="9450" xr:uid="{35230EB0-EF64-43F8-ADEB-D53F73826391}"/>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27217B6D-4C7B-4D32-A0D3-7FD60B85BB92}"/>
    <cellStyle name="Normal 5 3 3 2 2 4 2 3" xfId="12008" xr:uid="{DE960CEB-55BB-4225-BBE9-1B4D2A711F40}"/>
    <cellStyle name="Normal 5 3 3 2 2 4 3" xfId="5642" xr:uid="{00000000-0005-0000-0000-000093190000}"/>
    <cellStyle name="Normal 5 3 3 2 2 4 3 2" xfId="14081" xr:uid="{D7A058D4-CA28-4B36-B614-C6D6C78950AA}"/>
    <cellStyle name="Normal 5 3 3 2 2 4 4" xfId="9863" xr:uid="{96706E0A-C19E-498F-BDE6-2BE6BE0E310A}"/>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95375D47-AC3C-4537-B589-90DB91136BF4}"/>
    <cellStyle name="Normal 5 3 3 2 2 5 2 3" xfId="12421" xr:uid="{EB923236-C3E3-4C23-908A-EE8B1F3AFC54}"/>
    <cellStyle name="Normal 5 3 3 2 2 5 3" xfId="6055" xr:uid="{00000000-0005-0000-0000-000097190000}"/>
    <cellStyle name="Normal 5 3 3 2 2 5 3 2" xfId="14494" xr:uid="{3D12D222-EFFA-4862-9D7A-03727B4B8055}"/>
    <cellStyle name="Normal 5 3 3 2 2 5 4" xfId="10276" xr:uid="{9F537140-EA26-4F06-A0C8-87996C96AA09}"/>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7E32627C-E295-4FC3-B1A9-F2512DE90FC2}"/>
    <cellStyle name="Normal 5 3 3 2 2 6 2 3" xfId="12834" xr:uid="{D0C480FA-ADC4-43E1-ADB2-CA1B8776098F}"/>
    <cellStyle name="Normal 5 3 3 2 2 6 3" xfId="6468" xr:uid="{00000000-0005-0000-0000-00009B190000}"/>
    <cellStyle name="Normal 5 3 3 2 2 6 3 2" xfId="14907" xr:uid="{86B385C4-9F94-4F0F-A5C6-29B5D1A2987B}"/>
    <cellStyle name="Normal 5 3 3 2 2 6 4" xfId="10689" xr:uid="{3607C341-B180-47C7-9D81-78FFA0C073FF}"/>
    <cellStyle name="Normal 5 3 3 2 2 7" xfId="2597" xr:uid="{00000000-0005-0000-0000-00009C190000}"/>
    <cellStyle name="Normal 5 3 3 2 2 7 2" xfId="6881" xr:uid="{00000000-0005-0000-0000-00009D190000}"/>
    <cellStyle name="Normal 5 3 3 2 2 7 2 2" xfId="15320" xr:uid="{65D3F4C2-F3AB-4606-8017-F82974FB28AA}"/>
    <cellStyle name="Normal 5 3 3 2 2 7 3" xfId="11102" xr:uid="{09BE06E7-EBD6-401B-80A9-306BACC86BFD}"/>
    <cellStyle name="Normal 5 3 3 2 2 8" xfId="4816" xr:uid="{00000000-0005-0000-0000-00009E190000}"/>
    <cellStyle name="Normal 5 3 3 2 2 8 2" xfId="13255" xr:uid="{21500C54-D426-4C70-87F5-96494F723965}"/>
    <cellStyle name="Normal 5 3 3 2 2 9" xfId="9037" xr:uid="{49ACF0A2-D402-43AA-A4A1-88111945697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A842D3CA-3877-47A1-A018-2AFD1642FEB0}"/>
    <cellStyle name="Normal 5 3 3 2 3 2 2 3" xfId="11597" xr:uid="{EBE658F1-ADCE-414F-8E59-6A3E0FDCA063}"/>
    <cellStyle name="Normal 5 3 3 2 3 2 3" xfId="5231" xr:uid="{00000000-0005-0000-0000-0000A3190000}"/>
    <cellStyle name="Normal 5 3 3 2 3 2 3 2" xfId="13670" xr:uid="{32E8FCAE-57C8-4FE9-82AB-1505352AF85B}"/>
    <cellStyle name="Normal 5 3 3 2 3 2 4" xfId="9452" xr:uid="{304779A7-258D-419E-B192-97A051B7B21D}"/>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01A9067E-8E32-4272-BCDE-EDA682AC48D3}"/>
    <cellStyle name="Normal 5 3 3 2 3 3 2 3" xfId="12010" xr:uid="{FC3628FF-F612-40A9-AEF1-1E51F7C01C75}"/>
    <cellStyle name="Normal 5 3 3 2 3 3 3" xfId="5644" xr:uid="{00000000-0005-0000-0000-0000A7190000}"/>
    <cellStyle name="Normal 5 3 3 2 3 3 3 2" xfId="14083" xr:uid="{EF575F46-AC0E-4EF3-AEFE-A363D30FA715}"/>
    <cellStyle name="Normal 5 3 3 2 3 3 4" xfId="9865" xr:uid="{547BE86F-A81A-4A2D-B3EC-9FACEE8EEEEC}"/>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25C05D06-B80E-4D0E-8C53-EE6755A9CF62}"/>
    <cellStyle name="Normal 5 3 3 2 3 4 2 3" xfId="12423" xr:uid="{0059B388-91FD-42A3-977D-05068ABE3EF5}"/>
    <cellStyle name="Normal 5 3 3 2 3 4 3" xfId="6057" xr:uid="{00000000-0005-0000-0000-0000AB190000}"/>
    <cellStyle name="Normal 5 3 3 2 3 4 3 2" xfId="14496" xr:uid="{C303C392-D5D0-4ADE-A5D1-18C3F62571CD}"/>
    <cellStyle name="Normal 5 3 3 2 3 4 4" xfId="10278" xr:uid="{AA186221-54F9-43A7-B4F4-D72399323DB1}"/>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792119B4-539C-46AA-9ACC-D0ED47738CF9}"/>
    <cellStyle name="Normal 5 3 3 2 3 5 2 3" xfId="12836" xr:uid="{5B375661-EFD3-4ACF-A249-73A5E61F5039}"/>
    <cellStyle name="Normal 5 3 3 2 3 5 3" xfId="6470" xr:uid="{00000000-0005-0000-0000-0000AF190000}"/>
    <cellStyle name="Normal 5 3 3 2 3 5 3 2" xfId="14909" xr:uid="{3254735A-9A12-452E-88C9-84398587C26B}"/>
    <cellStyle name="Normal 5 3 3 2 3 5 4" xfId="10691" xr:uid="{65D66A74-9096-4F40-890C-968B09798921}"/>
    <cellStyle name="Normal 5 3 3 2 3 6" xfId="2599" xr:uid="{00000000-0005-0000-0000-0000B0190000}"/>
    <cellStyle name="Normal 5 3 3 2 3 6 2" xfId="6883" xr:uid="{00000000-0005-0000-0000-0000B1190000}"/>
    <cellStyle name="Normal 5 3 3 2 3 6 2 2" xfId="15322" xr:uid="{D7549603-6FA0-4006-981D-DA97FCE8FEAC}"/>
    <cellStyle name="Normal 5 3 3 2 3 6 3" xfId="11104" xr:uid="{8D476330-460B-44BB-B55A-56A01E0D0A3D}"/>
    <cellStyle name="Normal 5 3 3 2 3 7" xfId="4818" xr:uid="{00000000-0005-0000-0000-0000B2190000}"/>
    <cellStyle name="Normal 5 3 3 2 3 7 2" xfId="13257" xr:uid="{7F866F2A-EF06-49AD-8DAF-7FF7AD90031A}"/>
    <cellStyle name="Normal 5 3 3 2 3 8" xfId="9039" xr:uid="{566834A8-5907-4F79-A756-DAF10702A603}"/>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B8ACC09D-27CC-4387-AE2D-12AEE975888E}"/>
    <cellStyle name="Normal 5 3 3 2 4 2 3" xfId="11594" xr:uid="{3D4BA4C4-FF40-414C-A8D0-85571E46CC54}"/>
    <cellStyle name="Normal 5 3 3 2 4 3" xfId="5228" xr:uid="{00000000-0005-0000-0000-0000B6190000}"/>
    <cellStyle name="Normal 5 3 3 2 4 3 2" xfId="13667" xr:uid="{468E572D-8A1A-44E8-A789-746A169C208A}"/>
    <cellStyle name="Normal 5 3 3 2 4 4" xfId="9449" xr:uid="{846A78E1-F9BD-4D8F-9969-90A7D0FFD4CA}"/>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94C2C242-5783-48ED-9633-077D5B11C2D5}"/>
    <cellStyle name="Normal 5 3 3 2 5 2 3" xfId="12007" xr:uid="{9DB0974B-82BF-44B9-87D2-E597ACF539BD}"/>
    <cellStyle name="Normal 5 3 3 2 5 3" xfId="5641" xr:uid="{00000000-0005-0000-0000-0000BA190000}"/>
    <cellStyle name="Normal 5 3 3 2 5 3 2" xfId="14080" xr:uid="{A529A6FA-F019-4549-B030-0998ECC773A0}"/>
    <cellStyle name="Normal 5 3 3 2 5 4" xfId="9862" xr:uid="{885E8DDA-D07B-47C3-BEB3-A0A749595755}"/>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15C24D3B-280C-409C-9882-F4187DD888A4}"/>
    <cellStyle name="Normal 5 3 3 2 6 2 3" xfId="12420" xr:uid="{A9B07F04-3DD9-4D3A-8846-E1F84E7CEFBE}"/>
    <cellStyle name="Normal 5 3 3 2 6 3" xfId="6054" xr:uid="{00000000-0005-0000-0000-0000BE190000}"/>
    <cellStyle name="Normal 5 3 3 2 6 3 2" xfId="14493" xr:uid="{9E73B9BA-0AF7-4AD5-9242-121F0ADCAE29}"/>
    <cellStyle name="Normal 5 3 3 2 6 4" xfId="10275" xr:uid="{F56BCD67-7538-4FF1-8797-02D87F793C82}"/>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024728B4-1B12-4336-862A-B87A3A6CC5CA}"/>
    <cellStyle name="Normal 5 3 3 2 7 2 3" xfId="12833" xr:uid="{B1241332-F958-45D6-9D5F-4C897DD33FCA}"/>
    <cellStyle name="Normal 5 3 3 2 7 3" xfId="6467" xr:uid="{00000000-0005-0000-0000-0000C2190000}"/>
    <cellStyle name="Normal 5 3 3 2 7 3 2" xfId="14906" xr:uid="{37FF14E0-D171-4ACF-8BF2-A5A28FF1BD4E}"/>
    <cellStyle name="Normal 5 3 3 2 7 4" xfId="10688" xr:uid="{8F985596-4C94-4079-9699-4579D87FDDC2}"/>
    <cellStyle name="Normal 5 3 3 2 8" xfId="2596" xr:uid="{00000000-0005-0000-0000-0000C3190000}"/>
    <cellStyle name="Normal 5 3 3 2 8 2" xfId="6880" xr:uid="{00000000-0005-0000-0000-0000C4190000}"/>
    <cellStyle name="Normal 5 3 3 2 8 2 2" xfId="15319" xr:uid="{F16BE154-734E-4921-B49D-E5D989711AC9}"/>
    <cellStyle name="Normal 5 3 3 2 8 3" xfId="11101" xr:uid="{0DB9A1D3-4CE4-490B-9953-B226FA3578C2}"/>
    <cellStyle name="Normal 5 3 3 2 9" xfId="4815" xr:uid="{00000000-0005-0000-0000-0000C5190000}"/>
    <cellStyle name="Normal 5 3 3 2 9 2" xfId="13254" xr:uid="{E74FEF5D-E96D-470F-BF6A-8DAEBC56D358}"/>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05072556-1334-4BD5-B3A9-BEBC1DA7973D}"/>
    <cellStyle name="Normal 5 3 3 3 2 2 2 3" xfId="11599" xr:uid="{AED104C6-C733-418B-99A6-755BDB7212F5}"/>
    <cellStyle name="Normal 5 3 3 3 2 2 3" xfId="5233" xr:uid="{00000000-0005-0000-0000-0000CB190000}"/>
    <cellStyle name="Normal 5 3 3 3 2 2 3 2" xfId="13672" xr:uid="{15917A0A-34B9-4C72-BA84-8B6AC8B8CADD}"/>
    <cellStyle name="Normal 5 3 3 3 2 2 4" xfId="9454" xr:uid="{5A2D085F-E9DD-493A-AFB7-F1B7C275C461}"/>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F90BE87A-2589-4DF7-A5AC-8112429CC49F}"/>
    <cellStyle name="Normal 5 3 3 3 2 3 2 3" xfId="12012" xr:uid="{F66DC10C-7C46-45CD-B0CA-49F5A5A0CCC4}"/>
    <cellStyle name="Normal 5 3 3 3 2 3 3" xfId="5646" xr:uid="{00000000-0005-0000-0000-0000CF190000}"/>
    <cellStyle name="Normal 5 3 3 3 2 3 3 2" xfId="14085" xr:uid="{2D5598A9-5E19-4F0E-939C-3EA5470CCB15}"/>
    <cellStyle name="Normal 5 3 3 3 2 3 4" xfId="9867" xr:uid="{E1AC8990-C740-4B2C-B288-F54AC1C54405}"/>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E2C266E3-195A-4115-8390-5B180B08B29D}"/>
    <cellStyle name="Normal 5 3 3 3 2 4 2 3" xfId="12425" xr:uid="{FF5E77B6-979A-4B1B-86A9-AC68A2FAD408}"/>
    <cellStyle name="Normal 5 3 3 3 2 4 3" xfId="6059" xr:uid="{00000000-0005-0000-0000-0000D3190000}"/>
    <cellStyle name="Normal 5 3 3 3 2 4 3 2" xfId="14498" xr:uid="{46D9C194-20D4-4D1D-B9A0-0994F9B79884}"/>
    <cellStyle name="Normal 5 3 3 3 2 4 4" xfId="10280" xr:uid="{89F61851-F089-41C8-9992-C90657CD841E}"/>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4DA25B72-F062-40A1-8470-99A6BE78B81E}"/>
    <cellStyle name="Normal 5 3 3 3 2 5 2 3" xfId="12838" xr:uid="{0EED03F2-444E-43CF-A05A-CFAA44EC4C41}"/>
    <cellStyle name="Normal 5 3 3 3 2 5 3" xfId="6472" xr:uid="{00000000-0005-0000-0000-0000D7190000}"/>
    <cellStyle name="Normal 5 3 3 3 2 5 3 2" xfId="14911" xr:uid="{00F2E14C-88F0-4E8B-B568-C67D8F9632CE}"/>
    <cellStyle name="Normal 5 3 3 3 2 5 4" xfId="10693" xr:uid="{AB413EAD-545F-4C9C-A3B5-44942792E85E}"/>
    <cellStyle name="Normal 5 3 3 3 2 6" xfId="2601" xr:uid="{00000000-0005-0000-0000-0000D8190000}"/>
    <cellStyle name="Normal 5 3 3 3 2 6 2" xfId="6885" xr:uid="{00000000-0005-0000-0000-0000D9190000}"/>
    <cellStyle name="Normal 5 3 3 3 2 6 2 2" xfId="15324" xr:uid="{EC3B0CC2-C695-42B4-A0F1-4858E946DCAF}"/>
    <cellStyle name="Normal 5 3 3 3 2 6 3" xfId="11106" xr:uid="{94FBDD48-7AB7-4390-B86B-4E7C6AF9BC38}"/>
    <cellStyle name="Normal 5 3 3 3 2 7" xfId="4820" xr:uid="{00000000-0005-0000-0000-0000DA190000}"/>
    <cellStyle name="Normal 5 3 3 3 2 7 2" xfId="13259" xr:uid="{0B6CB98E-511F-4184-BEAC-2A2B1DEE31FD}"/>
    <cellStyle name="Normal 5 3 3 3 2 8" xfId="9041" xr:uid="{FB3F1198-823F-41E6-90DC-A26181BB9872}"/>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66C8CCE2-FC0B-4DF7-81FD-8A1C269EAD48}"/>
    <cellStyle name="Normal 5 3 3 3 3 2 3" xfId="11598" xr:uid="{A7A3DE80-8655-4438-942D-D6ADA1E48837}"/>
    <cellStyle name="Normal 5 3 3 3 3 3" xfId="5232" xr:uid="{00000000-0005-0000-0000-0000DE190000}"/>
    <cellStyle name="Normal 5 3 3 3 3 3 2" xfId="13671" xr:uid="{BAD7FE2C-25B3-4EE1-A8B5-8702D341FE46}"/>
    <cellStyle name="Normal 5 3 3 3 3 4" xfId="9453" xr:uid="{C19D3D37-728C-4488-B099-59DE58FE08D4}"/>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28151787-86FB-474A-937E-FE5E93E1CC24}"/>
    <cellStyle name="Normal 5 3 3 3 4 2 3" xfId="12011" xr:uid="{B3D21F59-26A4-435A-95E0-02BF2D139C40}"/>
    <cellStyle name="Normal 5 3 3 3 4 3" xfId="5645" xr:uid="{00000000-0005-0000-0000-0000E2190000}"/>
    <cellStyle name="Normal 5 3 3 3 4 3 2" xfId="14084" xr:uid="{C993CC0A-8980-458D-A031-D6E9F3037D82}"/>
    <cellStyle name="Normal 5 3 3 3 4 4" xfId="9866" xr:uid="{D9A68619-A6CF-4751-B2D9-A00BA8A9DE3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EA5FF921-0B60-498E-857A-670F490259DF}"/>
    <cellStyle name="Normal 5 3 3 3 5 2 3" xfId="12424" xr:uid="{41E70C73-A9B7-44FC-B100-FB5F0ECABA50}"/>
    <cellStyle name="Normal 5 3 3 3 5 3" xfId="6058" xr:uid="{00000000-0005-0000-0000-0000E6190000}"/>
    <cellStyle name="Normal 5 3 3 3 5 3 2" xfId="14497" xr:uid="{93970BDE-0210-4A95-998F-8611C9DCEC16}"/>
    <cellStyle name="Normal 5 3 3 3 5 4" xfId="10279" xr:uid="{8D46CEAA-6E92-4086-B857-46A98E90CDF7}"/>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42257715-354F-4C11-B986-FA5ABD8B326D}"/>
    <cellStyle name="Normal 5 3 3 3 6 2 3" xfId="12837" xr:uid="{68FCA4A3-7904-4144-87DF-4635B53D1BD4}"/>
    <cellStyle name="Normal 5 3 3 3 6 3" xfId="6471" xr:uid="{00000000-0005-0000-0000-0000EA190000}"/>
    <cellStyle name="Normal 5 3 3 3 6 3 2" xfId="14910" xr:uid="{2FA73752-93EB-43B4-AD4D-EF5C437FA12F}"/>
    <cellStyle name="Normal 5 3 3 3 6 4" xfId="10692" xr:uid="{5BB7000B-1985-4CE7-8992-B259DE63E060}"/>
    <cellStyle name="Normal 5 3 3 3 7" xfId="2600" xr:uid="{00000000-0005-0000-0000-0000EB190000}"/>
    <cellStyle name="Normal 5 3 3 3 7 2" xfId="6884" xr:uid="{00000000-0005-0000-0000-0000EC190000}"/>
    <cellStyle name="Normal 5 3 3 3 7 2 2" xfId="15323" xr:uid="{FC264004-A957-4A34-8936-9CE6DC814592}"/>
    <cellStyle name="Normal 5 3 3 3 7 3" xfId="11105" xr:uid="{344B984C-38C2-4F73-8AEB-5618590F35C7}"/>
    <cellStyle name="Normal 5 3 3 3 8" xfId="4819" xr:uid="{00000000-0005-0000-0000-0000ED190000}"/>
    <cellStyle name="Normal 5 3 3 3 8 2" xfId="13258" xr:uid="{D67ACC5E-1518-4881-9ABF-1429818B0C08}"/>
    <cellStyle name="Normal 5 3 3 3 9" xfId="9040" xr:uid="{9A7A597B-F2D8-4E91-BAC2-21A28975BA75}"/>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EC0F6AA1-0F81-4792-AF98-DB9960247A5A}"/>
    <cellStyle name="Normal 5 3 3 4 2 2 3" xfId="11600" xr:uid="{20EA8797-D491-4C58-984C-52ED5836B4C2}"/>
    <cellStyle name="Normal 5 3 3 4 2 3" xfId="5234" xr:uid="{00000000-0005-0000-0000-0000F2190000}"/>
    <cellStyle name="Normal 5 3 3 4 2 3 2" xfId="13673" xr:uid="{9FCFC86A-CDA0-428F-A615-62C5BB5C9062}"/>
    <cellStyle name="Normal 5 3 3 4 2 4" xfId="9455" xr:uid="{115BE044-D90E-4F94-B8D5-61B1E9B999C7}"/>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01C391E0-62C9-4387-8553-C2B98704E34C}"/>
    <cellStyle name="Normal 5 3 3 4 3 2 3" xfId="12013" xr:uid="{C4A71A8B-23A9-4ADC-84E1-905237B29B79}"/>
    <cellStyle name="Normal 5 3 3 4 3 3" xfId="5647" xr:uid="{00000000-0005-0000-0000-0000F6190000}"/>
    <cellStyle name="Normal 5 3 3 4 3 3 2" xfId="14086" xr:uid="{F60B0AB7-7ED2-4D27-9456-B36FB95A5286}"/>
    <cellStyle name="Normal 5 3 3 4 3 4" xfId="9868" xr:uid="{AE12F99D-AE42-4BF3-B568-F8199872A25C}"/>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E5D6564B-46E7-4470-88A3-A82330D45975}"/>
    <cellStyle name="Normal 5 3 3 4 4 2 3" xfId="12426" xr:uid="{7C4131A4-9C50-420C-9791-C1B7364A64A4}"/>
    <cellStyle name="Normal 5 3 3 4 4 3" xfId="6060" xr:uid="{00000000-0005-0000-0000-0000FA190000}"/>
    <cellStyle name="Normal 5 3 3 4 4 3 2" xfId="14499" xr:uid="{BE00E69B-01A1-4E80-BA13-E68309798B6D}"/>
    <cellStyle name="Normal 5 3 3 4 4 4" xfId="10281" xr:uid="{16D09A8C-EEAF-405C-B4F9-2EA7F9204A38}"/>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3554566B-514C-4093-99F8-1038CC7B9697}"/>
    <cellStyle name="Normal 5 3 3 4 5 2 3" xfId="12839" xr:uid="{988C7324-2954-4B02-A362-BA3717C78E20}"/>
    <cellStyle name="Normal 5 3 3 4 5 3" xfId="6473" xr:uid="{00000000-0005-0000-0000-0000FE190000}"/>
    <cellStyle name="Normal 5 3 3 4 5 3 2" xfId="14912" xr:uid="{00D33234-402A-48C6-972C-A57E5483149E}"/>
    <cellStyle name="Normal 5 3 3 4 5 4" xfId="10694" xr:uid="{15347FE9-436D-413D-B94B-F775BDABF68A}"/>
    <cellStyle name="Normal 5 3 3 4 6" xfId="2602" xr:uid="{00000000-0005-0000-0000-0000FF190000}"/>
    <cellStyle name="Normal 5 3 3 4 6 2" xfId="6886" xr:uid="{00000000-0005-0000-0000-0000001A0000}"/>
    <cellStyle name="Normal 5 3 3 4 6 2 2" xfId="15325" xr:uid="{726CAAF8-CEE8-4E58-A78C-7E93BA0B465D}"/>
    <cellStyle name="Normal 5 3 3 4 6 3" xfId="11107" xr:uid="{1F305482-F4EC-44A2-9DEB-8823321618F3}"/>
    <cellStyle name="Normal 5 3 3 4 7" xfId="4821" xr:uid="{00000000-0005-0000-0000-0000011A0000}"/>
    <cellStyle name="Normal 5 3 3 4 7 2" xfId="13260" xr:uid="{236F4789-181C-4CAF-AA94-D42F0CBCD865}"/>
    <cellStyle name="Normal 5 3 3 4 8" xfId="9042" xr:uid="{5E6B6DF1-E30D-4E3D-BCD6-E6B20C41B5C5}"/>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AB1379D0-A7E7-459D-9EF7-F8BC6B9D84AA}"/>
    <cellStyle name="Normal 5 3 3 5 2 3" xfId="11593" xr:uid="{3137849F-7050-4594-B3F9-72AC5196289D}"/>
    <cellStyle name="Normal 5 3 3 5 3" xfId="5227" xr:uid="{00000000-0005-0000-0000-0000051A0000}"/>
    <cellStyle name="Normal 5 3 3 5 3 2" xfId="13666" xr:uid="{56842B81-811A-4DCD-B6DF-989C6F3DFE0E}"/>
    <cellStyle name="Normal 5 3 3 5 4" xfId="9448" xr:uid="{0D943900-7D22-475C-89A8-DEBA0143DAD3}"/>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37DB1107-468E-4C0B-BBDB-8179DE5FD640}"/>
    <cellStyle name="Normal 5 3 3 6 2 3" xfId="12006" xr:uid="{831274B6-9C48-457C-94E1-938970DDAED2}"/>
    <cellStyle name="Normal 5 3 3 6 3" xfId="5640" xr:uid="{00000000-0005-0000-0000-0000091A0000}"/>
    <cellStyle name="Normal 5 3 3 6 3 2" xfId="14079" xr:uid="{088B8C0B-E886-467F-A542-285A493C8863}"/>
    <cellStyle name="Normal 5 3 3 6 4" xfId="9861" xr:uid="{125335D3-DA44-4067-B318-0A179FB26150}"/>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07848619-26E6-4DC2-AF6D-60E7AC490C8B}"/>
    <cellStyle name="Normal 5 3 3 7 2 3" xfId="12419" xr:uid="{597E7709-AF1E-47D2-9EE2-4304F8FF9688}"/>
    <cellStyle name="Normal 5 3 3 7 3" xfId="6053" xr:uid="{00000000-0005-0000-0000-00000D1A0000}"/>
    <cellStyle name="Normal 5 3 3 7 3 2" xfId="14492" xr:uid="{F57A3DB5-F874-4333-A58C-58B635837A40}"/>
    <cellStyle name="Normal 5 3 3 7 4" xfId="10274" xr:uid="{5DBB5003-178A-46DE-B27D-75CE6CC09268}"/>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1F1CE564-5339-4CEB-BA6B-78C9B9B0B88C}"/>
    <cellStyle name="Normal 5 3 3 8 2 3" xfId="12832" xr:uid="{3466A894-7A9F-4C8F-BE25-6931ABF966A6}"/>
    <cellStyle name="Normal 5 3 3 8 3" xfId="6466" xr:uid="{00000000-0005-0000-0000-0000111A0000}"/>
    <cellStyle name="Normal 5 3 3 8 3 2" xfId="14905" xr:uid="{BE96F32D-7392-4F53-BA19-2469A4380F34}"/>
    <cellStyle name="Normal 5 3 3 8 4" xfId="10687" xr:uid="{AEB35B8D-85EB-494F-B8F2-C96A23935C61}"/>
    <cellStyle name="Normal 5 3 3 9" xfId="2595" xr:uid="{00000000-0005-0000-0000-0000121A0000}"/>
    <cellStyle name="Normal 5 3 3 9 2" xfId="6879" xr:uid="{00000000-0005-0000-0000-0000131A0000}"/>
    <cellStyle name="Normal 5 3 3 9 2 2" xfId="15318" xr:uid="{AB5B8BB4-7CF8-4DB3-B4ED-6764C1C5B169}"/>
    <cellStyle name="Normal 5 3 3 9 3" xfId="11100" xr:uid="{D4A80412-2CB2-4C41-861A-062AE1892D28}"/>
    <cellStyle name="Normal 5 3 4" xfId="449" xr:uid="{00000000-0005-0000-0000-0000141A0000}"/>
    <cellStyle name="Normal 5 3 4 10" xfId="9043" xr:uid="{6DBE5FEE-4FA2-4FC8-9A56-B47E3C6A06AB}"/>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768D040B-B0E3-471D-AA7A-2C6D09E2AC0F}"/>
    <cellStyle name="Normal 5 3 4 2 2 2 2 3" xfId="11603" xr:uid="{955E8E90-4CE5-4080-B301-59D59A416F55}"/>
    <cellStyle name="Normal 5 3 4 2 2 2 3" xfId="5237" xr:uid="{00000000-0005-0000-0000-00001A1A0000}"/>
    <cellStyle name="Normal 5 3 4 2 2 2 3 2" xfId="13676" xr:uid="{6EA766AD-80DD-4E97-8550-E792930BFD87}"/>
    <cellStyle name="Normal 5 3 4 2 2 2 4" xfId="9458" xr:uid="{31289593-51CC-4B40-B4A2-F4BD53831D96}"/>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EDC893C9-6918-4FCA-834A-B57695BE7A35}"/>
    <cellStyle name="Normal 5 3 4 2 2 3 2 3" xfId="12016" xr:uid="{17123FDB-B158-4FB4-B39B-B9724A65E4AF}"/>
    <cellStyle name="Normal 5 3 4 2 2 3 3" xfId="5650" xr:uid="{00000000-0005-0000-0000-00001E1A0000}"/>
    <cellStyle name="Normal 5 3 4 2 2 3 3 2" xfId="14089" xr:uid="{E7F94C3F-C041-4BF5-BD10-D7F2D11674BD}"/>
    <cellStyle name="Normal 5 3 4 2 2 3 4" xfId="9871" xr:uid="{BCA87E4F-4319-41F0-8FEE-EEDDA2F8F90D}"/>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FEC20806-12AC-456C-995B-F7CBDCA1B902}"/>
    <cellStyle name="Normal 5 3 4 2 2 4 2 3" xfId="12429" xr:uid="{D903126E-B15F-4AA1-9312-ACB4CCE98A5A}"/>
    <cellStyle name="Normal 5 3 4 2 2 4 3" xfId="6063" xr:uid="{00000000-0005-0000-0000-0000221A0000}"/>
    <cellStyle name="Normal 5 3 4 2 2 4 3 2" xfId="14502" xr:uid="{FC0B45AA-D6A3-467A-B491-1C9A4E8B7FFE}"/>
    <cellStyle name="Normal 5 3 4 2 2 4 4" xfId="10284" xr:uid="{F89BE853-9150-437C-86A7-90FD182E93F4}"/>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8F677A44-2016-4927-AEDC-745A2594C9D8}"/>
    <cellStyle name="Normal 5 3 4 2 2 5 2 3" xfId="12842" xr:uid="{177DE250-A536-45BA-861A-EE66719C792C}"/>
    <cellStyle name="Normal 5 3 4 2 2 5 3" xfId="6476" xr:uid="{00000000-0005-0000-0000-0000261A0000}"/>
    <cellStyle name="Normal 5 3 4 2 2 5 3 2" xfId="14915" xr:uid="{8AEA4B95-C1BB-4F1E-A176-5458F0CB352C}"/>
    <cellStyle name="Normal 5 3 4 2 2 5 4" xfId="10697" xr:uid="{80800582-BB20-4897-B8F1-C4499B307D78}"/>
    <cellStyle name="Normal 5 3 4 2 2 6" xfId="2605" xr:uid="{00000000-0005-0000-0000-0000271A0000}"/>
    <cellStyle name="Normal 5 3 4 2 2 6 2" xfId="6889" xr:uid="{00000000-0005-0000-0000-0000281A0000}"/>
    <cellStyle name="Normal 5 3 4 2 2 6 2 2" xfId="15328" xr:uid="{B023E62A-DC41-49CE-86CC-1F0A963920BB}"/>
    <cellStyle name="Normal 5 3 4 2 2 6 3" xfId="11110" xr:uid="{8DC329A1-2262-4C80-A38A-19D882E8DF6B}"/>
    <cellStyle name="Normal 5 3 4 2 2 7" xfId="4824" xr:uid="{00000000-0005-0000-0000-0000291A0000}"/>
    <cellStyle name="Normal 5 3 4 2 2 7 2" xfId="13263" xr:uid="{EA10137A-D82C-4EA7-83AF-7812D2BFE73C}"/>
    <cellStyle name="Normal 5 3 4 2 2 8" xfId="9045" xr:uid="{A4491274-2B88-42CD-8321-6EFA936418A3}"/>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8ADCCDDC-1EE0-4F02-B7C4-6D103F3F523A}"/>
    <cellStyle name="Normal 5 3 4 2 3 2 3" xfId="11602" xr:uid="{CD3B2439-8EA2-4022-A448-E5D27BC90ECC}"/>
    <cellStyle name="Normal 5 3 4 2 3 3" xfId="5236" xr:uid="{00000000-0005-0000-0000-00002D1A0000}"/>
    <cellStyle name="Normal 5 3 4 2 3 3 2" xfId="13675" xr:uid="{1BFB53E2-6C4E-41C0-B56D-65D17452006E}"/>
    <cellStyle name="Normal 5 3 4 2 3 4" xfId="9457" xr:uid="{587E20E4-8B97-4929-9874-835E43DB1BC8}"/>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45AD1183-A862-4851-AA1D-814A9ADEC275}"/>
    <cellStyle name="Normal 5 3 4 2 4 2 3" xfId="12015" xr:uid="{509A99E6-CD8C-4981-A432-249A099E8114}"/>
    <cellStyle name="Normal 5 3 4 2 4 3" xfId="5649" xr:uid="{00000000-0005-0000-0000-0000311A0000}"/>
    <cellStyle name="Normal 5 3 4 2 4 3 2" xfId="14088" xr:uid="{106931A8-1CE2-469B-847F-418923456DDE}"/>
    <cellStyle name="Normal 5 3 4 2 4 4" xfId="9870" xr:uid="{AEB67BAF-EBD7-43C9-85C7-14325F0831A1}"/>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D5EEF6F4-AB5E-4597-8442-6ABF7D6963D8}"/>
    <cellStyle name="Normal 5 3 4 2 5 2 3" xfId="12428" xr:uid="{8D3834E4-7320-4DA0-BF27-D8673E75A6E6}"/>
    <cellStyle name="Normal 5 3 4 2 5 3" xfId="6062" xr:uid="{00000000-0005-0000-0000-0000351A0000}"/>
    <cellStyle name="Normal 5 3 4 2 5 3 2" xfId="14501" xr:uid="{C1172674-CEEF-4B1B-9C24-5967E6E69077}"/>
    <cellStyle name="Normal 5 3 4 2 5 4" xfId="10283" xr:uid="{0C02A530-28D6-49B0-BDDC-9448150F8940}"/>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550569B0-3E2D-4A1B-B1A4-4E2985DBC09A}"/>
    <cellStyle name="Normal 5 3 4 2 6 2 3" xfId="12841" xr:uid="{1935BFC0-B13C-48E4-8C5E-6A0BE1082B7A}"/>
    <cellStyle name="Normal 5 3 4 2 6 3" xfId="6475" xr:uid="{00000000-0005-0000-0000-0000391A0000}"/>
    <cellStyle name="Normal 5 3 4 2 6 3 2" xfId="14914" xr:uid="{D1EA120A-948F-456E-AD58-9B61C9B9D834}"/>
    <cellStyle name="Normal 5 3 4 2 6 4" xfId="10696" xr:uid="{D1C095A5-8C84-448D-BA51-9D6FE3DA871E}"/>
    <cellStyle name="Normal 5 3 4 2 7" xfId="2604" xr:uid="{00000000-0005-0000-0000-00003A1A0000}"/>
    <cellStyle name="Normal 5 3 4 2 7 2" xfId="6888" xr:uid="{00000000-0005-0000-0000-00003B1A0000}"/>
    <cellStyle name="Normal 5 3 4 2 7 2 2" xfId="15327" xr:uid="{51F77FDE-B51C-4B72-A9E1-74AB2FBB3BF6}"/>
    <cellStyle name="Normal 5 3 4 2 7 3" xfId="11109" xr:uid="{D909EB3E-C636-421E-B282-0B4D50CA1BFA}"/>
    <cellStyle name="Normal 5 3 4 2 8" xfId="4823" xr:uid="{00000000-0005-0000-0000-00003C1A0000}"/>
    <cellStyle name="Normal 5 3 4 2 8 2" xfId="13262" xr:uid="{AB192289-1A63-41BA-86DB-BF88AD7122FF}"/>
    <cellStyle name="Normal 5 3 4 2 9" xfId="9044" xr:uid="{A07E4A42-6C76-4CA8-95C9-B30F56A3FB61}"/>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DC5FD358-351F-4839-8669-F56EDD815AC7}"/>
    <cellStyle name="Normal 5 3 4 3 2 2 3" xfId="11604" xr:uid="{F97C1E96-7649-45C9-A56E-322D9DDF3EEC}"/>
    <cellStyle name="Normal 5 3 4 3 2 3" xfId="5238" xr:uid="{00000000-0005-0000-0000-0000411A0000}"/>
    <cellStyle name="Normal 5 3 4 3 2 3 2" xfId="13677" xr:uid="{D59D3CF4-DD6A-4D28-8778-7E4EA80866AA}"/>
    <cellStyle name="Normal 5 3 4 3 2 4" xfId="9459" xr:uid="{43BE9FB5-A0A4-4C4F-8E33-79A34C319E51}"/>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DC8999C7-4CED-43A5-972F-3C6FE430FA78}"/>
    <cellStyle name="Normal 5 3 4 3 3 2 3" xfId="12017" xr:uid="{9E65E113-A5FA-4AAF-9CE0-5554D2741BDA}"/>
    <cellStyle name="Normal 5 3 4 3 3 3" xfId="5651" xr:uid="{00000000-0005-0000-0000-0000451A0000}"/>
    <cellStyle name="Normal 5 3 4 3 3 3 2" xfId="14090" xr:uid="{5799E3CA-E3D5-443B-809E-8EE75BED90DF}"/>
    <cellStyle name="Normal 5 3 4 3 3 4" xfId="9872" xr:uid="{7EF3A407-675C-416C-B368-F087B438A47D}"/>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8AA989A0-6EC1-420A-80D0-B78A20ED11B9}"/>
    <cellStyle name="Normal 5 3 4 3 4 2 3" xfId="12430" xr:uid="{086EEF1C-0B4F-46BE-AC36-9F5E90839D2A}"/>
    <cellStyle name="Normal 5 3 4 3 4 3" xfId="6064" xr:uid="{00000000-0005-0000-0000-0000491A0000}"/>
    <cellStyle name="Normal 5 3 4 3 4 3 2" xfId="14503" xr:uid="{6E75C33A-422A-4E95-A697-8C247702891F}"/>
    <cellStyle name="Normal 5 3 4 3 4 4" xfId="10285" xr:uid="{66AD6202-17ED-45BD-A411-965C8299C482}"/>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F90CB224-4F41-4F84-8A76-4F23DE6E422D}"/>
    <cellStyle name="Normal 5 3 4 3 5 2 3" xfId="12843" xr:uid="{6A0DA744-CCC3-4A67-B18B-9D64FC8D05CD}"/>
    <cellStyle name="Normal 5 3 4 3 5 3" xfId="6477" xr:uid="{00000000-0005-0000-0000-00004D1A0000}"/>
    <cellStyle name="Normal 5 3 4 3 5 3 2" xfId="14916" xr:uid="{6CBB8816-0E6B-44C4-B64B-4CEA9946F94A}"/>
    <cellStyle name="Normal 5 3 4 3 5 4" xfId="10698" xr:uid="{9BF23487-48F8-4CB0-AE56-4700FA37B51C}"/>
    <cellStyle name="Normal 5 3 4 3 6" xfId="2606" xr:uid="{00000000-0005-0000-0000-00004E1A0000}"/>
    <cellStyle name="Normal 5 3 4 3 6 2" xfId="6890" xr:uid="{00000000-0005-0000-0000-00004F1A0000}"/>
    <cellStyle name="Normal 5 3 4 3 6 2 2" xfId="15329" xr:uid="{373202FA-C839-473B-8F9C-E055A7AAAB40}"/>
    <cellStyle name="Normal 5 3 4 3 6 3" xfId="11111" xr:uid="{C969B550-B88C-4DCC-9F26-2996DCC65E98}"/>
    <cellStyle name="Normal 5 3 4 3 7" xfId="4825" xr:uid="{00000000-0005-0000-0000-0000501A0000}"/>
    <cellStyle name="Normal 5 3 4 3 7 2" xfId="13264" xr:uid="{EC3D53A1-D4C7-4532-BFC7-1D6ACE385E9D}"/>
    <cellStyle name="Normal 5 3 4 3 8" xfId="9046" xr:uid="{4F662F29-0D65-45F3-BEA5-939D96115153}"/>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91943882-DC7B-4E88-81A1-C813DB5391F2}"/>
    <cellStyle name="Normal 5 3 4 4 2 3" xfId="11601" xr:uid="{30BF50D8-EB78-4234-8EE4-429D92757B07}"/>
    <cellStyle name="Normal 5 3 4 4 3" xfId="5235" xr:uid="{00000000-0005-0000-0000-0000541A0000}"/>
    <cellStyle name="Normal 5 3 4 4 3 2" xfId="13674" xr:uid="{0A23F682-5F5F-4D58-AC3F-EB1ED0A48BEF}"/>
    <cellStyle name="Normal 5 3 4 4 4" xfId="9456" xr:uid="{6D6BFDAF-5D95-4A84-A215-8B16D22959C9}"/>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3C36FE34-63CB-4D31-800F-67F4D1C61A6F}"/>
    <cellStyle name="Normal 5 3 4 5 2 3" xfId="12014" xr:uid="{35795976-83A4-4508-B243-7DE6ED525BA4}"/>
    <cellStyle name="Normal 5 3 4 5 3" xfId="5648" xr:uid="{00000000-0005-0000-0000-0000581A0000}"/>
    <cellStyle name="Normal 5 3 4 5 3 2" xfId="14087" xr:uid="{3CE09C71-0342-4597-B608-F921DB733959}"/>
    <cellStyle name="Normal 5 3 4 5 4" xfId="9869" xr:uid="{F335AE4C-C190-4D29-BA94-6E13725BBE3B}"/>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CB50FB05-6B6A-4F94-A6C9-EE82F913BCAA}"/>
    <cellStyle name="Normal 5 3 4 6 2 3" xfId="12427" xr:uid="{187A9399-4E76-4FFC-9F15-052A54C45394}"/>
    <cellStyle name="Normal 5 3 4 6 3" xfId="6061" xr:uid="{00000000-0005-0000-0000-00005C1A0000}"/>
    <cellStyle name="Normal 5 3 4 6 3 2" xfId="14500" xr:uid="{76ECF0A3-13AF-4E2C-899C-D251D0404F7C}"/>
    <cellStyle name="Normal 5 3 4 6 4" xfId="10282" xr:uid="{3FD69B06-9255-4D59-84FB-8F185A328E48}"/>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1937BD98-5BB4-4437-8436-A39301FE6958}"/>
    <cellStyle name="Normal 5 3 4 7 2 3" xfId="12840" xr:uid="{41C23BAC-C4BC-44A4-A2A9-A16E4E176BAB}"/>
    <cellStyle name="Normal 5 3 4 7 3" xfId="6474" xr:uid="{00000000-0005-0000-0000-0000601A0000}"/>
    <cellStyle name="Normal 5 3 4 7 3 2" xfId="14913" xr:uid="{FCA2B9DD-2F3D-4551-86DA-01818976E9A2}"/>
    <cellStyle name="Normal 5 3 4 7 4" xfId="10695" xr:uid="{8DD4196B-93D5-4D31-9210-A2920D734F1E}"/>
    <cellStyle name="Normal 5 3 4 8" xfId="2603" xr:uid="{00000000-0005-0000-0000-0000611A0000}"/>
    <cellStyle name="Normal 5 3 4 8 2" xfId="6887" xr:uid="{00000000-0005-0000-0000-0000621A0000}"/>
    <cellStyle name="Normal 5 3 4 8 2 2" xfId="15326" xr:uid="{8FDD7C29-FFDF-4409-B5AA-A9B5142DEA7C}"/>
    <cellStyle name="Normal 5 3 4 8 3" xfId="11108" xr:uid="{D9C91EC1-12C9-4AD3-92E0-ED15DADD670F}"/>
    <cellStyle name="Normal 5 3 4 9" xfId="4822" xr:uid="{00000000-0005-0000-0000-0000631A0000}"/>
    <cellStyle name="Normal 5 3 4 9 2" xfId="13261" xr:uid="{033313F0-E1CC-482C-96C2-DF37A978BD0E}"/>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5A761E99-1CAA-4010-92C4-34901B2A5AC4}"/>
    <cellStyle name="Normal 5 3 5 2 2 2 3" xfId="11606" xr:uid="{01928607-AE0B-4C96-BAAA-664FC84D2FEE}"/>
    <cellStyle name="Normal 5 3 5 2 2 3" xfId="5240" xr:uid="{00000000-0005-0000-0000-0000691A0000}"/>
    <cellStyle name="Normal 5 3 5 2 2 3 2" xfId="13679" xr:uid="{507868FD-40FA-46FE-B2D1-475EB12C13A7}"/>
    <cellStyle name="Normal 5 3 5 2 2 4" xfId="9461" xr:uid="{82AA7804-E057-4A13-BD4C-745B0D8E7413}"/>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294E0063-F815-432C-80D6-A5711223F33A}"/>
    <cellStyle name="Normal 5 3 5 2 3 2 3" xfId="12019" xr:uid="{BFE8D9A4-2906-46BB-B394-76D53CA1203B}"/>
    <cellStyle name="Normal 5 3 5 2 3 3" xfId="5653" xr:uid="{00000000-0005-0000-0000-00006D1A0000}"/>
    <cellStyle name="Normal 5 3 5 2 3 3 2" xfId="14092" xr:uid="{46FCC0CD-1EAC-4DAC-99C3-1D66F7CD8D52}"/>
    <cellStyle name="Normal 5 3 5 2 3 4" xfId="9874" xr:uid="{2F895DBE-7CBB-464D-BB2A-BF00B62E2FEE}"/>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9C2518A2-F205-4242-AB25-34CEB5B46A09}"/>
    <cellStyle name="Normal 5 3 5 2 4 2 3" xfId="12432" xr:uid="{DFAF1D4C-0C82-49C7-9635-3D394A5697D7}"/>
    <cellStyle name="Normal 5 3 5 2 4 3" xfId="6066" xr:uid="{00000000-0005-0000-0000-0000711A0000}"/>
    <cellStyle name="Normal 5 3 5 2 4 3 2" xfId="14505" xr:uid="{620097DB-93AD-430D-B66A-2C5061A3973B}"/>
    <cellStyle name="Normal 5 3 5 2 4 4" xfId="10287" xr:uid="{B4D6627D-3E4D-463A-B9A3-18C236851E16}"/>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27CC69A5-D912-4B0E-9870-438C5E4A86C3}"/>
    <cellStyle name="Normal 5 3 5 2 5 2 3" xfId="12845" xr:uid="{AEFAF47A-C52E-46F6-9C5C-4B0207012696}"/>
    <cellStyle name="Normal 5 3 5 2 5 3" xfId="6479" xr:uid="{00000000-0005-0000-0000-0000751A0000}"/>
    <cellStyle name="Normal 5 3 5 2 5 3 2" xfId="14918" xr:uid="{514EA2B5-6018-400B-B297-2961B7A592DD}"/>
    <cellStyle name="Normal 5 3 5 2 5 4" xfId="10700" xr:uid="{AF865E6F-1823-4E4B-BE11-83C540E00086}"/>
    <cellStyle name="Normal 5 3 5 2 6" xfId="2608" xr:uid="{00000000-0005-0000-0000-0000761A0000}"/>
    <cellStyle name="Normal 5 3 5 2 6 2" xfId="6892" xr:uid="{00000000-0005-0000-0000-0000771A0000}"/>
    <cellStyle name="Normal 5 3 5 2 6 2 2" xfId="15331" xr:uid="{EDABB7DB-8E95-4BA5-BD72-75678AE55CE0}"/>
    <cellStyle name="Normal 5 3 5 2 6 3" xfId="11113" xr:uid="{1CD1B6F2-6FB8-4CD3-A85B-E538579B48CB}"/>
    <cellStyle name="Normal 5 3 5 2 7" xfId="4827" xr:uid="{00000000-0005-0000-0000-0000781A0000}"/>
    <cellStyle name="Normal 5 3 5 2 7 2" xfId="13266" xr:uid="{D27D2C74-2839-4C27-A5CC-A2D28909E69A}"/>
    <cellStyle name="Normal 5 3 5 2 8" xfId="9048" xr:uid="{46592C2F-50FA-4820-8E05-D0683F0AF147}"/>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3BFC214B-1911-4F96-83B2-04C00AD5BC7F}"/>
    <cellStyle name="Normal 5 3 5 3 2 3" xfId="11605" xr:uid="{31777E50-6F28-4D72-9B16-416D4B6F919E}"/>
    <cellStyle name="Normal 5 3 5 3 3" xfId="5239" xr:uid="{00000000-0005-0000-0000-00007C1A0000}"/>
    <cellStyle name="Normal 5 3 5 3 3 2" xfId="13678" xr:uid="{B6D346A0-2F23-42DE-B3EB-843503ED2654}"/>
    <cellStyle name="Normal 5 3 5 3 4" xfId="9460" xr:uid="{3A5373D5-D26C-4E13-B0CD-9E7FA44CA3EB}"/>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2FB69945-2EF2-4642-AE2A-17E55FAE77D4}"/>
    <cellStyle name="Normal 5 3 5 4 2 3" xfId="12018" xr:uid="{2ACB1C72-0E7A-40D8-B7AA-F2955A3435D9}"/>
    <cellStyle name="Normal 5 3 5 4 3" xfId="5652" xr:uid="{00000000-0005-0000-0000-0000801A0000}"/>
    <cellStyle name="Normal 5 3 5 4 3 2" xfId="14091" xr:uid="{F3B0BB57-439D-46F8-BF9A-546524A6C122}"/>
    <cellStyle name="Normal 5 3 5 4 4" xfId="9873" xr:uid="{DDB2F0C4-0652-49F5-A757-336482EB80C8}"/>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34AA4858-F01E-4005-9DFE-773BA774B943}"/>
    <cellStyle name="Normal 5 3 5 5 2 3" xfId="12431" xr:uid="{03BD589D-38FD-4C98-9E42-AE9D0FEA789D}"/>
    <cellStyle name="Normal 5 3 5 5 3" xfId="6065" xr:uid="{00000000-0005-0000-0000-0000841A0000}"/>
    <cellStyle name="Normal 5 3 5 5 3 2" xfId="14504" xr:uid="{FE6071D5-4732-4C10-8E6C-4FAE1DB0C4F3}"/>
    <cellStyle name="Normal 5 3 5 5 4" xfId="10286" xr:uid="{8449BF94-A8F5-46E6-A3FA-A4213513645A}"/>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959D698D-08D9-410C-9D8C-6089B31B928D}"/>
    <cellStyle name="Normal 5 3 5 6 2 3" xfId="12844" xr:uid="{10C508D0-A279-44C2-BC4C-410C669B1A3E}"/>
    <cellStyle name="Normal 5 3 5 6 3" xfId="6478" xr:uid="{00000000-0005-0000-0000-0000881A0000}"/>
    <cellStyle name="Normal 5 3 5 6 3 2" xfId="14917" xr:uid="{4E0E412C-0C39-4710-B082-AD2F0C6B74BB}"/>
    <cellStyle name="Normal 5 3 5 6 4" xfId="10699" xr:uid="{295F11B2-496C-4D8F-99F4-1740B7A76BE9}"/>
    <cellStyle name="Normal 5 3 5 7" xfId="2607" xr:uid="{00000000-0005-0000-0000-0000891A0000}"/>
    <cellStyle name="Normal 5 3 5 7 2" xfId="6891" xr:uid="{00000000-0005-0000-0000-00008A1A0000}"/>
    <cellStyle name="Normal 5 3 5 7 2 2" xfId="15330" xr:uid="{B0AAFE00-69DF-4C11-808E-86EC2DCAACD8}"/>
    <cellStyle name="Normal 5 3 5 7 3" xfId="11112" xr:uid="{BBE691D3-4883-4F08-8576-91675D8CACC8}"/>
    <cellStyle name="Normal 5 3 5 8" xfId="4826" xr:uid="{00000000-0005-0000-0000-00008B1A0000}"/>
    <cellStyle name="Normal 5 3 5 8 2" xfId="13265" xr:uid="{EFC630BB-5E60-49B6-9A16-D19F09EC8C04}"/>
    <cellStyle name="Normal 5 3 5 9" xfId="9047" xr:uid="{B7948244-DBB6-497D-8985-A0A247957FA5}"/>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FB0EE7A0-57D8-4791-AF51-4E8FA5FCF0D9}"/>
    <cellStyle name="Normal 5 3 6 2 2 3" xfId="11607" xr:uid="{5C1CB7E0-4FF7-405E-A2B1-4AB7A467E876}"/>
    <cellStyle name="Normal 5 3 6 2 3" xfId="5241" xr:uid="{00000000-0005-0000-0000-0000901A0000}"/>
    <cellStyle name="Normal 5 3 6 2 3 2" xfId="13680" xr:uid="{AAC14203-91E9-40A8-9565-FF26BCC1BE02}"/>
    <cellStyle name="Normal 5 3 6 2 4" xfId="9462" xr:uid="{CD2F3BD5-EA61-4DAF-8745-7AC19306E8C5}"/>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8B7271C3-E6C4-45B7-9AEF-45AE4EA68C48}"/>
    <cellStyle name="Normal 5 3 6 3 2 3" xfId="12020" xr:uid="{A26093A9-E8CF-41EF-AC2A-4862909AAF4F}"/>
    <cellStyle name="Normal 5 3 6 3 3" xfId="5654" xr:uid="{00000000-0005-0000-0000-0000941A0000}"/>
    <cellStyle name="Normal 5 3 6 3 3 2" xfId="14093" xr:uid="{CA14D8FD-3865-4651-945D-CDE1669C59D9}"/>
    <cellStyle name="Normal 5 3 6 3 4" xfId="9875" xr:uid="{70FFF440-FC9A-4569-8082-715A41E6DF9A}"/>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882E5274-50D4-4360-9CF7-65C2201F1E00}"/>
    <cellStyle name="Normal 5 3 6 4 2 3" xfId="12433" xr:uid="{C393DCA1-A3CF-46F9-864D-0CEF00734346}"/>
    <cellStyle name="Normal 5 3 6 4 3" xfId="6067" xr:uid="{00000000-0005-0000-0000-0000981A0000}"/>
    <cellStyle name="Normal 5 3 6 4 3 2" xfId="14506" xr:uid="{00B13F4A-AA31-4124-9A05-356725DAC0A2}"/>
    <cellStyle name="Normal 5 3 6 4 4" xfId="10288" xr:uid="{D462D181-B546-408B-949E-D47F17A485EE}"/>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31386D6A-AC49-4EA5-B66B-2937FC5132E2}"/>
    <cellStyle name="Normal 5 3 6 5 2 3" xfId="12846" xr:uid="{724C12E7-EDBE-4E98-AE6D-3A091E5810F0}"/>
    <cellStyle name="Normal 5 3 6 5 3" xfId="6480" xr:uid="{00000000-0005-0000-0000-00009C1A0000}"/>
    <cellStyle name="Normal 5 3 6 5 3 2" xfId="14919" xr:uid="{16C0DEF7-86BD-4A13-A68D-CBB56CA77DF1}"/>
    <cellStyle name="Normal 5 3 6 5 4" xfId="10701" xr:uid="{82AD48E0-0069-4E15-A5B0-6947EDE9C95A}"/>
    <cellStyle name="Normal 5 3 6 6" xfId="2609" xr:uid="{00000000-0005-0000-0000-00009D1A0000}"/>
    <cellStyle name="Normal 5 3 6 6 2" xfId="6893" xr:uid="{00000000-0005-0000-0000-00009E1A0000}"/>
    <cellStyle name="Normal 5 3 6 6 2 2" xfId="15332" xr:uid="{5DB4B86F-B651-4D4D-8BA2-3B16EFB32939}"/>
    <cellStyle name="Normal 5 3 6 6 3" xfId="11114" xr:uid="{02444BEA-17FD-4B11-A98B-FEF5DAE0F9C7}"/>
    <cellStyle name="Normal 5 3 6 7" xfId="4828" xr:uid="{00000000-0005-0000-0000-00009F1A0000}"/>
    <cellStyle name="Normal 5 3 6 7 2" xfId="13267" xr:uid="{26152B5F-D38F-4CAF-884B-1A1648EAEC69}"/>
    <cellStyle name="Normal 5 3 6 8" xfId="9049" xr:uid="{FDA463F6-4D7F-4E4C-916A-D984A738A576}"/>
    <cellStyle name="Normal 5 3 7" xfId="913" xr:uid="{00000000-0005-0000-0000-0000A01A0000}"/>
    <cellStyle name="Normal 5 3 7 2" xfId="3148" xr:uid="{00000000-0005-0000-0000-0000A11A0000}"/>
    <cellStyle name="Normal 5 3 7 2 2" xfId="7371" xr:uid="{00000000-0005-0000-0000-0000A21A0000}"/>
    <cellStyle name="Normal 5 3 7 2 2 2" xfId="15810" xr:uid="{0DAE4B56-DBAE-44B2-9F9F-865DC68C6C7F}"/>
    <cellStyle name="Normal 5 3 7 2 3" xfId="11592" xr:uid="{2F65C283-0A6E-45D3-887D-AC2E0BA46015}"/>
    <cellStyle name="Normal 5 3 7 3" xfId="5226" xr:uid="{00000000-0005-0000-0000-0000A31A0000}"/>
    <cellStyle name="Normal 5 3 7 3 2" xfId="13665" xr:uid="{7BD1CCA4-FF43-4D57-AA15-4982209C68EA}"/>
    <cellStyle name="Normal 5 3 7 4" xfId="9447" xr:uid="{3872EE21-E78C-4706-8876-2BD03B2F21AC}"/>
    <cellStyle name="Normal 5 3 8" xfId="1331" xr:uid="{00000000-0005-0000-0000-0000A41A0000}"/>
    <cellStyle name="Normal 5 3 8 2" xfId="3561" xr:uid="{00000000-0005-0000-0000-0000A51A0000}"/>
    <cellStyle name="Normal 5 3 8 2 2" xfId="7784" xr:uid="{00000000-0005-0000-0000-0000A61A0000}"/>
    <cellStyle name="Normal 5 3 8 2 2 2" xfId="16223" xr:uid="{134CF5C3-F10D-4EB1-B680-31BD3DC917E4}"/>
    <cellStyle name="Normal 5 3 8 2 3" xfId="12005" xr:uid="{5FC86AEE-5856-4CF2-8845-BABA1668C9BE}"/>
    <cellStyle name="Normal 5 3 8 3" xfId="5639" xr:uid="{00000000-0005-0000-0000-0000A71A0000}"/>
    <cellStyle name="Normal 5 3 8 3 2" xfId="14078" xr:uid="{BF5B1E6B-975F-40C6-A832-2FF1661FF977}"/>
    <cellStyle name="Normal 5 3 8 4" xfId="9860" xr:uid="{E8CFE5EF-7CBE-4FD7-BBCA-BF5AC5344495}"/>
    <cellStyle name="Normal 5 3 9" xfId="1744" xr:uid="{00000000-0005-0000-0000-0000A81A0000}"/>
    <cellStyle name="Normal 5 3 9 2" xfId="3974" xr:uid="{00000000-0005-0000-0000-0000A91A0000}"/>
    <cellStyle name="Normal 5 3 9 2 2" xfId="8197" xr:uid="{00000000-0005-0000-0000-0000AA1A0000}"/>
    <cellStyle name="Normal 5 3 9 2 2 2" xfId="16636" xr:uid="{527C05D4-7C42-49F7-86D5-B062F92B9CC4}"/>
    <cellStyle name="Normal 5 3 9 2 3" xfId="12418" xr:uid="{AFF935EF-184B-40B1-9064-06ECF7F0ACD5}"/>
    <cellStyle name="Normal 5 3 9 3" xfId="6052" xr:uid="{00000000-0005-0000-0000-0000AB1A0000}"/>
    <cellStyle name="Normal 5 3 9 3 2" xfId="14491" xr:uid="{844E4451-ACF7-4A2D-8BD0-D7FFE9A6E2A7}"/>
    <cellStyle name="Normal 5 3 9 4" xfId="10273" xr:uid="{1F4355FA-93DF-431E-8E5A-B3F3E58BE1DF}"/>
    <cellStyle name="Normal 5 4" xfId="456" xr:uid="{00000000-0005-0000-0000-0000AC1A0000}"/>
    <cellStyle name="Normal 5 4 10" xfId="4829" xr:uid="{00000000-0005-0000-0000-0000AD1A0000}"/>
    <cellStyle name="Normal 5 4 10 2" xfId="13268" xr:uid="{E31DB690-33FF-42F8-BFD4-7A1484EB918A}"/>
    <cellStyle name="Normal 5 4 11" xfId="9050" xr:uid="{EA5BDAC5-0F51-4ADF-9AAE-A0348FA61F36}"/>
    <cellStyle name="Normal 5 4 2" xfId="457" xr:uid="{00000000-0005-0000-0000-0000AE1A0000}"/>
    <cellStyle name="Normal 5 4 2 10" xfId="9051" xr:uid="{BEA5837E-266F-4240-86C8-09C1B0E7C4DC}"/>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0096F469-7047-4120-80D7-BECAAB2A933A}"/>
    <cellStyle name="Normal 5 4 2 2 2 2 2 3" xfId="11611" xr:uid="{602C224E-3B37-4451-99F3-6377CAEE3766}"/>
    <cellStyle name="Normal 5 4 2 2 2 2 3" xfId="5245" xr:uid="{00000000-0005-0000-0000-0000B41A0000}"/>
    <cellStyle name="Normal 5 4 2 2 2 2 3 2" xfId="13684" xr:uid="{E4628D67-A57C-4813-A698-D7D8502BAA76}"/>
    <cellStyle name="Normal 5 4 2 2 2 2 4" xfId="9466" xr:uid="{EF7E05E8-1FA9-40F0-9407-7C08F0FC8487}"/>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4D5EAB07-90A1-40A2-8E5F-953F8F39E27B}"/>
    <cellStyle name="Normal 5 4 2 2 2 3 2 3" xfId="12024" xr:uid="{8AB2AD5F-A968-4B50-AC0F-4E0DBEE24CC5}"/>
    <cellStyle name="Normal 5 4 2 2 2 3 3" xfId="5658" xr:uid="{00000000-0005-0000-0000-0000B81A0000}"/>
    <cellStyle name="Normal 5 4 2 2 2 3 3 2" xfId="14097" xr:uid="{9A13D56F-ABB6-4FE3-BDF3-5296E8E55EC2}"/>
    <cellStyle name="Normal 5 4 2 2 2 3 4" xfId="9879" xr:uid="{7228BCC7-5BAB-4763-A247-97D27BE0AC64}"/>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F978CEF0-77B2-41F7-BD3F-F28A408BD272}"/>
    <cellStyle name="Normal 5 4 2 2 2 4 2 3" xfId="12437" xr:uid="{E8F2BABC-7031-45BD-84A4-889E955EDC5B}"/>
    <cellStyle name="Normal 5 4 2 2 2 4 3" xfId="6071" xr:uid="{00000000-0005-0000-0000-0000BC1A0000}"/>
    <cellStyle name="Normal 5 4 2 2 2 4 3 2" xfId="14510" xr:uid="{D275F18F-695A-4CBD-BB9B-B463D457D780}"/>
    <cellStyle name="Normal 5 4 2 2 2 4 4" xfId="10292" xr:uid="{CC954A11-ABA5-446B-A9C0-0D1AF4A6FB92}"/>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550C9281-9C93-4D80-9F48-E33ECBBA23CB}"/>
    <cellStyle name="Normal 5 4 2 2 2 5 2 3" xfId="12850" xr:uid="{13087AE2-7E1D-46D5-8734-1621BE9DBE27}"/>
    <cellStyle name="Normal 5 4 2 2 2 5 3" xfId="6484" xr:uid="{00000000-0005-0000-0000-0000C01A0000}"/>
    <cellStyle name="Normal 5 4 2 2 2 5 3 2" xfId="14923" xr:uid="{95925972-A067-42AA-AE70-324D6CCF1D4C}"/>
    <cellStyle name="Normal 5 4 2 2 2 5 4" xfId="10705" xr:uid="{435FF81A-53AE-4959-BF95-BAA8B9EC3F68}"/>
    <cellStyle name="Normal 5 4 2 2 2 6" xfId="2613" xr:uid="{00000000-0005-0000-0000-0000C11A0000}"/>
    <cellStyle name="Normal 5 4 2 2 2 6 2" xfId="6897" xr:uid="{00000000-0005-0000-0000-0000C21A0000}"/>
    <cellStyle name="Normal 5 4 2 2 2 6 2 2" xfId="15336" xr:uid="{55941CF7-D1A8-4FA8-9AA7-CBD33AA10C42}"/>
    <cellStyle name="Normal 5 4 2 2 2 6 3" xfId="11118" xr:uid="{D6BF659C-3677-47E9-AC22-EBF6678C4613}"/>
    <cellStyle name="Normal 5 4 2 2 2 7" xfId="4832" xr:uid="{00000000-0005-0000-0000-0000C31A0000}"/>
    <cellStyle name="Normal 5 4 2 2 2 7 2" xfId="13271" xr:uid="{02C73252-AD97-4ED1-AFAA-85109C0CC378}"/>
    <cellStyle name="Normal 5 4 2 2 2 8" xfId="9053" xr:uid="{C50AD95D-F287-42E8-BCAD-E1C2FAB59204}"/>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08CF3FD5-FA2C-40EC-8F54-3C03B6837544}"/>
    <cellStyle name="Normal 5 4 2 2 3 2 3" xfId="11610" xr:uid="{D7E67DB1-3CE1-4D15-A461-C502736DC814}"/>
    <cellStyle name="Normal 5 4 2 2 3 3" xfId="5244" xr:uid="{00000000-0005-0000-0000-0000C71A0000}"/>
    <cellStyle name="Normal 5 4 2 2 3 3 2" xfId="13683" xr:uid="{41406FF5-A8B6-4D3A-8E7C-1CA8316C33A7}"/>
    <cellStyle name="Normal 5 4 2 2 3 4" xfId="9465" xr:uid="{873D0FF8-3AD4-4EBE-9441-2FBC02ABB7F3}"/>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8D01D9DD-1BDB-411F-9DDD-E62811E5092B}"/>
    <cellStyle name="Normal 5 4 2 2 4 2 3" xfId="12023" xr:uid="{238FCA2A-8547-4C33-A9A5-8FE223C8E651}"/>
    <cellStyle name="Normal 5 4 2 2 4 3" xfId="5657" xr:uid="{00000000-0005-0000-0000-0000CB1A0000}"/>
    <cellStyle name="Normal 5 4 2 2 4 3 2" xfId="14096" xr:uid="{53436634-668F-4C86-97D1-9B3E20B75667}"/>
    <cellStyle name="Normal 5 4 2 2 4 4" xfId="9878" xr:uid="{7EB5FCDF-AAF8-4A16-B2BC-BF9CFC47FF79}"/>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AE378C6D-1E25-4286-B13A-8E62F72C9DA2}"/>
    <cellStyle name="Normal 5 4 2 2 5 2 3" xfId="12436" xr:uid="{A589FFEC-95A2-4024-A4C5-4073434CE75A}"/>
    <cellStyle name="Normal 5 4 2 2 5 3" xfId="6070" xr:uid="{00000000-0005-0000-0000-0000CF1A0000}"/>
    <cellStyle name="Normal 5 4 2 2 5 3 2" xfId="14509" xr:uid="{0DBE4921-17BA-4236-A037-4B0883F26245}"/>
    <cellStyle name="Normal 5 4 2 2 5 4" xfId="10291" xr:uid="{59049358-030B-4819-BCCB-A01526BF84C9}"/>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32C725D1-55CA-49DD-B50F-48D57CF1C06F}"/>
    <cellStyle name="Normal 5 4 2 2 6 2 3" xfId="12849" xr:uid="{B7C371D1-B183-48F1-8EB9-6F0EEBA1F493}"/>
    <cellStyle name="Normal 5 4 2 2 6 3" xfId="6483" xr:uid="{00000000-0005-0000-0000-0000D31A0000}"/>
    <cellStyle name="Normal 5 4 2 2 6 3 2" xfId="14922" xr:uid="{384EA2A3-2E84-402F-A89B-E5D9023835BE}"/>
    <cellStyle name="Normal 5 4 2 2 6 4" xfId="10704" xr:uid="{3800CD0B-9A3D-484E-87B7-254A985F21D8}"/>
    <cellStyle name="Normal 5 4 2 2 7" xfId="2612" xr:uid="{00000000-0005-0000-0000-0000D41A0000}"/>
    <cellStyle name="Normal 5 4 2 2 7 2" xfId="6896" xr:uid="{00000000-0005-0000-0000-0000D51A0000}"/>
    <cellStyle name="Normal 5 4 2 2 7 2 2" xfId="15335" xr:uid="{075D8787-FDFD-45E0-8B40-E15E699496B3}"/>
    <cellStyle name="Normal 5 4 2 2 7 3" xfId="11117" xr:uid="{BFC3567A-C4E2-4139-BFB7-AA68232BEACE}"/>
    <cellStyle name="Normal 5 4 2 2 8" xfId="4831" xr:uid="{00000000-0005-0000-0000-0000D61A0000}"/>
    <cellStyle name="Normal 5 4 2 2 8 2" xfId="13270" xr:uid="{E5AE06AF-6E5E-4557-BAB0-12C5AAB3A764}"/>
    <cellStyle name="Normal 5 4 2 2 9" xfId="9052" xr:uid="{6C452EC9-4DBC-4CDB-9C54-BFE119B9538F}"/>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DF6CF62F-605A-4ACC-8042-4772E156F8D7}"/>
    <cellStyle name="Normal 5 4 2 3 2 2 3" xfId="11612" xr:uid="{2A41977A-6982-4AA3-82F3-763A471E4BDC}"/>
    <cellStyle name="Normal 5 4 2 3 2 3" xfId="5246" xr:uid="{00000000-0005-0000-0000-0000DB1A0000}"/>
    <cellStyle name="Normal 5 4 2 3 2 3 2" xfId="13685" xr:uid="{A9F693B6-9D96-49E0-B10B-12B95F45C20E}"/>
    <cellStyle name="Normal 5 4 2 3 2 4" xfId="9467" xr:uid="{1E277C21-7082-481A-B1A7-2B3886DE10CD}"/>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B2ED7839-7D5B-4F9A-B33A-6560B4D10BEC}"/>
    <cellStyle name="Normal 5 4 2 3 3 2 3" xfId="12025" xr:uid="{6F2A3EC1-1C45-4B5F-8BD5-519D383FC668}"/>
    <cellStyle name="Normal 5 4 2 3 3 3" xfId="5659" xr:uid="{00000000-0005-0000-0000-0000DF1A0000}"/>
    <cellStyle name="Normal 5 4 2 3 3 3 2" xfId="14098" xr:uid="{8B65EA7C-1E2F-458F-B215-5F8D91A6444B}"/>
    <cellStyle name="Normal 5 4 2 3 3 4" xfId="9880" xr:uid="{F25EFF29-2F35-43AC-850E-3B9500B0EF8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C1C504EB-1B4E-4CB1-BE47-655B945C715B}"/>
    <cellStyle name="Normal 5 4 2 3 4 2 3" xfId="12438" xr:uid="{66F971A5-EE98-4B8F-83AA-67400FDF48DE}"/>
    <cellStyle name="Normal 5 4 2 3 4 3" xfId="6072" xr:uid="{00000000-0005-0000-0000-0000E31A0000}"/>
    <cellStyle name="Normal 5 4 2 3 4 3 2" xfId="14511" xr:uid="{95F9D193-11F8-49C7-9696-7CD0ADA72AFC}"/>
    <cellStyle name="Normal 5 4 2 3 4 4" xfId="10293" xr:uid="{B35F645C-2B27-436A-9687-64385E727EB8}"/>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D1DF1AF6-12D1-4770-9111-9DDF4CFDB9B4}"/>
    <cellStyle name="Normal 5 4 2 3 5 2 3" xfId="12851" xr:uid="{AF203295-409F-4735-927B-87B13BC374F9}"/>
    <cellStyle name="Normal 5 4 2 3 5 3" xfId="6485" xr:uid="{00000000-0005-0000-0000-0000E71A0000}"/>
    <cellStyle name="Normal 5 4 2 3 5 3 2" xfId="14924" xr:uid="{FB6D802B-3875-40CC-92E8-981CFB5A3204}"/>
    <cellStyle name="Normal 5 4 2 3 5 4" xfId="10706" xr:uid="{0FB192DA-458D-4455-869E-1EE133EF7849}"/>
    <cellStyle name="Normal 5 4 2 3 6" xfId="2614" xr:uid="{00000000-0005-0000-0000-0000E81A0000}"/>
    <cellStyle name="Normal 5 4 2 3 6 2" xfId="6898" xr:uid="{00000000-0005-0000-0000-0000E91A0000}"/>
    <cellStyle name="Normal 5 4 2 3 6 2 2" xfId="15337" xr:uid="{9BED1405-273B-4017-B2B5-4DFC4A3F03F3}"/>
    <cellStyle name="Normal 5 4 2 3 6 3" xfId="11119" xr:uid="{566549FE-A7CA-42AC-A9D2-FC71AB8DE022}"/>
    <cellStyle name="Normal 5 4 2 3 7" xfId="4833" xr:uid="{00000000-0005-0000-0000-0000EA1A0000}"/>
    <cellStyle name="Normal 5 4 2 3 7 2" xfId="13272" xr:uid="{F0C273DF-E47D-4A40-9307-3B10C9906584}"/>
    <cellStyle name="Normal 5 4 2 3 8" xfId="9054" xr:uid="{01FDE654-6313-4C0B-B0B8-742AE6527B48}"/>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A0BEBFC6-01BD-46B7-8513-CBDF017C19A5}"/>
    <cellStyle name="Normal 5 4 2 4 2 3" xfId="11609" xr:uid="{87AA981B-2853-4FF1-8F6C-6B5E1A38E29B}"/>
    <cellStyle name="Normal 5 4 2 4 3" xfId="5243" xr:uid="{00000000-0005-0000-0000-0000EE1A0000}"/>
    <cellStyle name="Normal 5 4 2 4 3 2" xfId="13682" xr:uid="{22366DB8-DF58-403A-9570-D2A0B8D9E990}"/>
    <cellStyle name="Normal 5 4 2 4 4" xfId="9464" xr:uid="{73BE7147-371E-4CA6-A076-65B45AAA8B71}"/>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C3F47B95-A6AC-46FB-B666-5704F3EB25DA}"/>
    <cellStyle name="Normal 5 4 2 5 2 3" xfId="12022" xr:uid="{8DF00BD8-46DA-4EB6-A988-2F5CDD046861}"/>
    <cellStyle name="Normal 5 4 2 5 3" xfId="5656" xr:uid="{00000000-0005-0000-0000-0000F21A0000}"/>
    <cellStyle name="Normal 5 4 2 5 3 2" xfId="14095" xr:uid="{64D7E29B-80FD-43BF-B1C5-F551302DA7E2}"/>
    <cellStyle name="Normal 5 4 2 5 4" xfId="9877" xr:uid="{EEFF07B6-3FA2-4CC0-B07E-7EC7D4F11742}"/>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3AA61EAD-EF2F-4A01-BFAA-7CE9683540DC}"/>
    <cellStyle name="Normal 5 4 2 6 2 3" xfId="12435" xr:uid="{F64714A1-73EC-4BEF-8E74-BDCA8261CB7F}"/>
    <cellStyle name="Normal 5 4 2 6 3" xfId="6069" xr:uid="{00000000-0005-0000-0000-0000F61A0000}"/>
    <cellStyle name="Normal 5 4 2 6 3 2" xfId="14508" xr:uid="{EDE1E764-8C94-4999-8224-978746541918}"/>
    <cellStyle name="Normal 5 4 2 6 4" xfId="10290" xr:uid="{B51E6B23-6594-4AB2-9F6D-285FE76EF57C}"/>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95558E95-0FF9-4595-A9FC-26B68F074357}"/>
    <cellStyle name="Normal 5 4 2 7 2 3" xfId="12848" xr:uid="{615BB418-2A48-400C-917A-3E13B291E820}"/>
    <cellStyle name="Normal 5 4 2 7 3" xfId="6482" xr:uid="{00000000-0005-0000-0000-0000FA1A0000}"/>
    <cellStyle name="Normal 5 4 2 7 3 2" xfId="14921" xr:uid="{E1F78697-81F6-4E56-94A7-F82AF8F3A05F}"/>
    <cellStyle name="Normal 5 4 2 7 4" xfId="10703" xr:uid="{18A3763B-83B9-49C7-BB06-905397CCBBD3}"/>
    <cellStyle name="Normal 5 4 2 8" xfId="2611" xr:uid="{00000000-0005-0000-0000-0000FB1A0000}"/>
    <cellStyle name="Normal 5 4 2 8 2" xfId="6895" xr:uid="{00000000-0005-0000-0000-0000FC1A0000}"/>
    <cellStyle name="Normal 5 4 2 8 2 2" xfId="15334" xr:uid="{3C642112-B82F-4B24-9B8E-9124CB66A551}"/>
    <cellStyle name="Normal 5 4 2 8 3" xfId="11116" xr:uid="{E37783D3-B074-423E-9208-C6212396DC0B}"/>
    <cellStyle name="Normal 5 4 2 9" xfId="4830" xr:uid="{00000000-0005-0000-0000-0000FD1A0000}"/>
    <cellStyle name="Normal 5 4 2 9 2" xfId="13269" xr:uid="{B69AB04C-CE11-4CDB-8DD0-6A94F3A5DE6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EB1A8BA5-E421-4106-A879-2F7535619027}"/>
    <cellStyle name="Normal 5 4 3 2 2 2 3" xfId="11614" xr:uid="{6CB1C8D7-CD18-4D3D-AF8A-C5EB8B358323}"/>
    <cellStyle name="Normal 5 4 3 2 2 3" xfId="5248" xr:uid="{00000000-0005-0000-0000-0000031B0000}"/>
    <cellStyle name="Normal 5 4 3 2 2 3 2" xfId="13687" xr:uid="{4D33B51C-2211-45ED-A8BD-CE22A0FE0C8D}"/>
    <cellStyle name="Normal 5 4 3 2 2 4" xfId="9469" xr:uid="{24C77471-7C26-4311-AC28-EDBFFC06E4AE}"/>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50BC54B2-4F79-4DEE-8CFF-BC2253A084B1}"/>
    <cellStyle name="Normal 5 4 3 2 3 2 3" xfId="12027" xr:uid="{373D61BB-C582-423E-9E54-66EDA1AD07DA}"/>
    <cellStyle name="Normal 5 4 3 2 3 3" xfId="5661" xr:uid="{00000000-0005-0000-0000-0000071B0000}"/>
    <cellStyle name="Normal 5 4 3 2 3 3 2" xfId="14100" xr:uid="{60BB1FF0-C3D5-4589-962B-647AAEC52FF9}"/>
    <cellStyle name="Normal 5 4 3 2 3 4" xfId="9882" xr:uid="{C633BFC1-474C-40D8-BB9B-516B49A97E6D}"/>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492FA535-1E66-4DB0-A76E-900F510E5FDD}"/>
    <cellStyle name="Normal 5 4 3 2 4 2 3" xfId="12440" xr:uid="{E394142E-75ED-42B9-93D5-24663811097A}"/>
    <cellStyle name="Normal 5 4 3 2 4 3" xfId="6074" xr:uid="{00000000-0005-0000-0000-00000B1B0000}"/>
    <cellStyle name="Normal 5 4 3 2 4 3 2" xfId="14513" xr:uid="{624251E4-B2CD-441D-A0DA-96CD5623076A}"/>
    <cellStyle name="Normal 5 4 3 2 4 4" xfId="10295" xr:uid="{46C78F14-C4C9-4AFD-A219-540639A03789}"/>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61C9C2FA-3CA9-4994-9A5A-37CCC1E2D07F}"/>
    <cellStyle name="Normal 5 4 3 2 5 2 3" xfId="12853" xr:uid="{E3AE0ECA-FC5F-49E7-89C3-7FB6F5B9B423}"/>
    <cellStyle name="Normal 5 4 3 2 5 3" xfId="6487" xr:uid="{00000000-0005-0000-0000-00000F1B0000}"/>
    <cellStyle name="Normal 5 4 3 2 5 3 2" xfId="14926" xr:uid="{16415A4B-789A-4C78-A333-6939B31489FC}"/>
    <cellStyle name="Normal 5 4 3 2 5 4" xfId="10708" xr:uid="{B8CDA5C5-69F6-4544-A3A6-EB4262207A12}"/>
    <cellStyle name="Normal 5 4 3 2 6" xfId="2616" xr:uid="{00000000-0005-0000-0000-0000101B0000}"/>
    <cellStyle name="Normal 5 4 3 2 6 2" xfId="6900" xr:uid="{00000000-0005-0000-0000-0000111B0000}"/>
    <cellStyle name="Normal 5 4 3 2 6 2 2" xfId="15339" xr:uid="{576023AB-203B-4A2F-9E41-F800B82E44D0}"/>
    <cellStyle name="Normal 5 4 3 2 6 3" xfId="11121" xr:uid="{FD4868ED-C272-4D5D-917C-A33269C97377}"/>
    <cellStyle name="Normal 5 4 3 2 7" xfId="4835" xr:uid="{00000000-0005-0000-0000-0000121B0000}"/>
    <cellStyle name="Normal 5 4 3 2 7 2" xfId="13274" xr:uid="{DC9335CC-3DF4-442A-9D8A-68018BA51D9F}"/>
    <cellStyle name="Normal 5 4 3 2 8" xfId="9056" xr:uid="{AE69F0FE-2EDE-4337-8463-54215FDC8FB9}"/>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D8E4D8EA-3B5C-4714-A5E8-996FEE05C372}"/>
    <cellStyle name="Normal 5 4 3 3 2 3" xfId="11613" xr:uid="{89148DAA-D5B4-465E-95F7-28CD891C6B1B}"/>
    <cellStyle name="Normal 5 4 3 3 3" xfId="5247" xr:uid="{00000000-0005-0000-0000-0000161B0000}"/>
    <cellStyle name="Normal 5 4 3 3 3 2" xfId="13686" xr:uid="{F222F39E-6153-4135-8011-CBF23D48FBB7}"/>
    <cellStyle name="Normal 5 4 3 3 4" xfId="9468" xr:uid="{63E501AB-0FB4-499A-9ECA-DF5EC3B4EE38}"/>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B567F4F7-AD69-4D14-BD56-E582A2ED7F48}"/>
    <cellStyle name="Normal 5 4 3 4 2 3" xfId="12026" xr:uid="{1C495855-E5B8-48A4-B42B-1F5D12E74522}"/>
    <cellStyle name="Normal 5 4 3 4 3" xfId="5660" xr:uid="{00000000-0005-0000-0000-00001A1B0000}"/>
    <cellStyle name="Normal 5 4 3 4 3 2" xfId="14099" xr:uid="{D40E87D7-F08C-4EF9-AEA4-E6A7F36D7451}"/>
    <cellStyle name="Normal 5 4 3 4 4" xfId="9881" xr:uid="{54F0F0E0-BD41-4080-A40B-4631A9E0B9AB}"/>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018AE9C4-FB79-430A-9C16-BE68D6C7590E}"/>
    <cellStyle name="Normal 5 4 3 5 2 3" xfId="12439" xr:uid="{7F73DE3E-6AB6-4554-BFDC-CB316C8C61C5}"/>
    <cellStyle name="Normal 5 4 3 5 3" xfId="6073" xr:uid="{00000000-0005-0000-0000-00001E1B0000}"/>
    <cellStyle name="Normal 5 4 3 5 3 2" xfId="14512" xr:uid="{D8964B64-0394-48C8-93BB-E3A6704063CA}"/>
    <cellStyle name="Normal 5 4 3 5 4" xfId="10294" xr:uid="{FC3A0B55-0FBD-439A-818A-108ABFA766B5}"/>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A1DA8B39-18E9-422F-833C-EA2EE856303E}"/>
    <cellStyle name="Normal 5 4 3 6 2 3" xfId="12852" xr:uid="{E1B46947-C028-4EF2-9AF3-D1B63DEBF2EE}"/>
    <cellStyle name="Normal 5 4 3 6 3" xfId="6486" xr:uid="{00000000-0005-0000-0000-0000221B0000}"/>
    <cellStyle name="Normal 5 4 3 6 3 2" xfId="14925" xr:uid="{76519DC1-A5B1-4F29-8A05-B5A0719F697F}"/>
    <cellStyle name="Normal 5 4 3 6 4" xfId="10707" xr:uid="{EA2A88D2-6DCA-48A3-B44F-D0C5EAD9B267}"/>
    <cellStyle name="Normal 5 4 3 7" xfId="2615" xr:uid="{00000000-0005-0000-0000-0000231B0000}"/>
    <cellStyle name="Normal 5 4 3 7 2" xfId="6899" xr:uid="{00000000-0005-0000-0000-0000241B0000}"/>
    <cellStyle name="Normal 5 4 3 7 2 2" xfId="15338" xr:uid="{6FE0F445-9458-4851-8773-06858A23E124}"/>
    <cellStyle name="Normal 5 4 3 7 3" xfId="11120" xr:uid="{D192F1BC-0D62-469A-9DF7-8C273A6B05BA}"/>
    <cellStyle name="Normal 5 4 3 8" xfId="4834" xr:uid="{00000000-0005-0000-0000-0000251B0000}"/>
    <cellStyle name="Normal 5 4 3 8 2" xfId="13273" xr:uid="{37368F50-496E-4094-A2DE-206F87F30417}"/>
    <cellStyle name="Normal 5 4 3 9" xfId="9055" xr:uid="{1C1D7AF5-6FE7-45AA-9C06-EC78F3280C28}"/>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DB0B0D95-195C-4328-9363-E5BDAEE300A0}"/>
    <cellStyle name="Normal 5 4 4 2 2 3" xfId="11615" xr:uid="{3F8C9D84-0559-44CC-86D5-BEE8E25EF3FA}"/>
    <cellStyle name="Normal 5 4 4 2 3" xfId="5249" xr:uid="{00000000-0005-0000-0000-00002A1B0000}"/>
    <cellStyle name="Normal 5 4 4 2 3 2" xfId="13688" xr:uid="{BA890155-F7B0-4E0F-916D-146671D99546}"/>
    <cellStyle name="Normal 5 4 4 2 4" xfId="9470" xr:uid="{E2522F7C-7E25-4F9E-831C-67DAC309443F}"/>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1DA238C1-9E7C-45A5-AB79-BC5A339FA495}"/>
    <cellStyle name="Normal 5 4 4 3 2 3" xfId="12028" xr:uid="{192E222D-807D-4AD5-8EB1-573523466FDB}"/>
    <cellStyle name="Normal 5 4 4 3 3" xfId="5662" xr:uid="{00000000-0005-0000-0000-00002E1B0000}"/>
    <cellStyle name="Normal 5 4 4 3 3 2" xfId="14101" xr:uid="{68803B79-F8A3-4A99-9667-59A8C7F33A56}"/>
    <cellStyle name="Normal 5 4 4 3 4" xfId="9883" xr:uid="{5F500E9B-595B-4533-A19C-73AB8593E5D4}"/>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CDBEBD7C-42E4-499D-A63D-C7007EED927F}"/>
    <cellStyle name="Normal 5 4 4 4 2 3" xfId="12441" xr:uid="{17643CCB-5F05-41F7-AC11-3EC6DF9BC7C7}"/>
    <cellStyle name="Normal 5 4 4 4 3" xfId="6075" xr:uid="{00000000-0005-0000-0000-0000321B0000}"/>
    <cellStyle name="Normal 5 4 4 4 3 2" xfId="14514" xr:uid="{CF3706BF-5ACC-43C9-A74D-BC6E4DA57298}"/>
    <cellStyle name="Normal 5 4 4 4 4" xfId="10296" xr:uid="{028470D7-9A44-40A6-8F90-3DCD1EAF5B76}"/>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AC768DBC-AE87-4254-823B-413834EA3C25}"/>
    <cellStyle name="Normal 5 4 4 5 2 3" xfId="12854" xr:uid="{197A8584-9C47-4FD5-96D6-97C821AEF5A3}"/>
    <cellStyle name="Normal 5 4 4 5 3" xfId="6488" xr:uid="{00000000-0005-0000-0000-0000361B0000}"/>
    <cellStyle name="Normal 5 4 4 5 3 2" xfId="14927" xr:uid="{AD88C320-5F21-4D76-B91A-0CDFD0D284A9}"/>
    <cellStyle name="Normal 5 4 4 5 4" xfId="10709" xr:uid="{E2384977-FB2C-46D6-A671-F2D44241B596}"/>
    <cellStyle name="Normal 5 4 4 6" xfId="2617" xr:uid="{00000000-0005-0000-0000-0000371B0000}"/>
    <cellStyle name="Normal 5 4 4 6 2" xfId="6901" xr:uid="{00000000-0005-0000-0000-0000381B0000}"/>
    <cellStyle name="Normal 5 4 4 6 2 2" xfId="15340" xr:uid="{3728F89D-EC26-4B4B-8FE0-67CF7D0B0BD8}"/>
    <cellStyle name="Normal 5 4 4 6 3" xfId="11122" xr:uid="{09A673AF-7BC1-4390-8A11-B7619A400EF2}"/>
    <cellStyle name="Normal 5 4 4 7" xfId="4836" xr:uid="{00000000-0005-0000-0000-0000391B0000}"/>
    <cellStyle name="Normal 5 4 4 7 2" xfId="13275" xr:uid="{04FD8B88-F1AD-4C8C-B8E1-9EA03090E468}"/>
    <cellStyle name="Normal 5 4 4 8" xfId="9057" xr:uid="{41BC41E2-AC90-4895-BCAB-54E5D0FBFBBD}"/>
    <cellStyle name="Normal 5 4 5" xfId="930" xr:uid="{00000000-0005-0000-0000-00003A1B0000}"/>
    <cellStyle name="Normal 5 4 5 2" xfId="3164" xr:uid="{00000000-0005-0000-0000-00003B1B0000}"/>
    <cellStyle name="Normal 5 4 5 2 2" xfId="7387" xr:uid="{00000000-0005-0000-0000-00003C1B0000}"/>
    <cellStyle name="Normal 5 4 5 2 2 2" xfId="15826" xr:uid="{1A2350E7-A711-48ED-AE0C-304A64138AC3}"/>
    <cellStyle name="Normal 5 4 5 2 3" xfId="11608" xr:uid="{49F4DA8C-3D57-439A-A324-989CEA86B77E}"/>
    <cellStyle name="Normal 5 4 5 3" xfId="5242" xr:uid="{00000000-0005-0000-0000-00003D1B0000}"/>
    <cellStyle name="Normal 5 4 5 3 2" xfId="13681" xr:uid="{772658B4-FD3D-4EA5-8E6C-CDD93C01C9EA}"/>
    <cellStyle name="Normal 5 4 5 4" xfId="9463" xr:uid="{9AE51013-1857-42F9-BEDD-C346D5896D28}"/>
    <cellStyle name="Normal 5 4 6" xfId="1347" xr:uid="{00000000-0005-0000-0000-00003E1B0000}"/>
    <cellStyle name="Normal 5 4 6 2" xfId="3577" xr:uid="{00000000-0005-0000-0000-00003F1B0000}"/>
    <cellStyle name="Normal 5 4 6 2 2" xfId="7800" xr:uid="{00000000-0005-0000-0000-0000401B0000}"/>
    <cellStyle name="Normal 5 4 6 2 2 2" xfId="16239" xr:uid="{00B197E1-59D5-4ADB-8A9F-923363246A87}"/>
    <cellStyle name="Normal 5 4 6 2 3" xfId="12021" xr:uid="{1C012E40-B27A-4947-9B92-D83EC98066F5}"/>
    <cellStyle name="Normal 5 4 6 3" xfId="5655" xr:uid="{00000000-0005-0000-0000-0000411B0000}"/>
    <cellStyle name="Normal 5 4 6 3 2" xfId="14094" xr:uid="{03FA4EBA-F185-4030-9D03-E7598893CB4A}"/>
    <cellStyle name="Normal 5 4 6 4" xfId="9876" xr:uid="{33CAE757-A6F6-4F5C-9348-2949E394B705}"/>
    <cellStyle name="Normal 5 4 7" xfId="1760" xr:uid="{00000000-0005-0000-0000-0000421B0000}"/>
    <cellStyle name="Normal 5 4 7 2" xfId="3990" xr:uid="{00000000-0005-0000-0000-0000431B0000}"/>
    <cellStyle name="Normal 5 4 7 2 2" xfId="8213" xr:uid="{00000000-0005-0000-0000-0000441B0000}"/>
    <cellStyle name="Normal 5 4 7 2 2 2" xfId="16652" xr:uid="{F3783688-E591-429E-ABEA-53DDC3276E6F}"/>
    <cellStyle name="Normal 5 4 7 2 3" xfId="12434" xr:uid="{3FB46612-DCBE-49F2-BA37-308C96424F30}"/>
    <cellStyle name="Normal 5 4 7 3" xfId="6068" xr:uid="{00000000-0005-0000-0000-0000451B0000}"/>
    <cellStyle name="Normal 5 4 7 3 2" xfId="14507" xr:uid="{7B821A99-B2DC-4755-9843-CB4CEA69EB4E}"/>
    <cellStyle name="Normal 5 4 7 4" xfId="10289" xr:uid="{AC20A98B-C49E-4015-B095-A0994AA54D77}"/>
    <cellStyle name="Normal 5 4 8" xfId="2174" xr:uid="{00000000-0005-0000-0000-0000461B0000}"/>
    <cellStyle name="Normal 5 4 8 2" xfId="4403" xr:uid="{00000000-0005-0000-0000-0000471B0000}"/>
    <cellStyle name="Normal 5 4 8 2 2" xfId="8626" xr:uid="{00000000-0005-0000-0000-0000481B0000}"/>
    <cellStyle name="Normal 5 4 8 2 2 2" xfId="17065" xr:uid="{F8B060A2-91F8-4E25-B3F4-A26A31BE6D4D}"/>
    <cellStyle name="Normal 5 4 8 2 3" xfId="12847" xr:uid="{00939A87-A50F-45E3-A38D-A947AF54756B}"/>
    <cellStyle name="Normal 5 4 8 3" xfId="6481" xr:uid="{00000000-0005-0000-0000-0000491B0000}"/>
    <cellStyle name="Normal 5 4 8 3 2" xfId="14920" xr:uid="{05A65C99-1B6A-4386-B7A3-92580A065D85}"/>
    <cellStyle name="Normal 5 4 8 4" xfId="10702" xr:uid="{26FC1A09-8925-445A-A30B-157F13AAF289}"/>
    <cellStyle name="Normal 5 4 9" xfId="2610" xr:uid="{00000000-0005-0000-0000-00004A1B0000}"/>
    <cellStyle name="Normal 5 4 9 2" xfId="6894" xr:uid="{00000000-0005-0000-0000-00004B1B0000}"/>
    <cellStyle name="Normal 5 4 9 2 2" xfId="15333" xr:uid="{BFFC9F90-2ABD-4EE6-ACA7-EA72243DEF0D}"/>
    <cellStyle name="Normal 5 4 9 3" xfId="11115" xr:uid="{223D8C86-2683-4666-A235-18F4F5D03646}"/>
    <cellStyle name="Normal 5 5" xfId="464" xr:uid="{00000000-0005-0000-0000-00004C1B0000}"/>
    <cellStyle name="Normal 5 5 10" xfId="9058" xr:uid="{95205105-0FDB-4432-A56F-48E1E7E724B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DCFB69B8-7092-4F9C-B2DF-6BE8DFEFD6E5}"/>
    <cellStyle name="Normal 5 5 2 2 2 2 3" xfId="11618" xr:uid="{AEAC6406-9E2D-4466-BEAD-544246E0CA24}"/>
    <cellStyle name="Normal 5 5 2 2 2 3" xfId="5252" xr:uid="{00000000-0005-0000-0000-0000521B0000}"/>
    <cellStyle name="Normal 5 5 2 2 2 3 2" xfId="13691" xr:uid="{C6FBE752-8041-47B7-9E9C-336B6DF2BAC2}"/>
    <cellStyle name="Normal 5 5 2 2 2 4" xfId="9473" xr:uid="{DA852203-6A23-485C-A061-3BA742B109C3}"/>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3B3224A2-857E-45E0-A288-5E8C87BE17AE}"/>
    <cellStyle name="Normal 5 5 2 2 3 2 3" xfId="12031" xr:uid="{D2E876A8-EDD7-4059-B069-12C1184D5C11}"/>
    <cellStyle name="Normal 5 5 2 2 3 3" xfId="5665" xr:uid="{00000000-0005-0000-0000-0000561B0000}"/>
    <cellStyle name="Normal 5 5 2 2 3 3 2" xfId="14104" xr:uid="{69ABB329-6135-4720-9B0A-763A262508FC}"/>
    <cellStyle name="Normal 5 5 2 2 3 4" xfId="9886" xr:uid="{622F5094-6EBD-416F-AE11-304B39BB91E5}"/>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4E01A590-A696-4088-9097-5B915E814CD2}"/>
    <cellStyle name="Normal 5 5 2 2 4 2 3" xfId="12444" xr:uid="{092FAE20-8F55-4360-9C9E-FC838808B68D}"/>
    <cellStyle name="Normal 5 5 2 2 4 3" xfId="6078" xr:uid="{00000000-0005-0000-0000-00005A1B0000}"/>
    <cellStyle name="Normal 5 5 2 2 4 3 2" xfId="14517" xr:uid="{F222F1B0-BDAF-47FB-BB9F-592809FE6349}"/>
    <cellStyle name="Normal 5 5 2 2 4 4" xfId="10299" xr:uid="{EF5F23B0-D20E-422D-BB0C-5BF9F18B8963}"/>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3D4D01A9-0916-4D14-A633-39BFBE20DC45}"/>
    <cellStyle name="Normal 5 5 2 2 5 2 3" xfId="12857" xr:uid="{C2704274-CF76-48C6-9788-3771AA7B669A}"/>
    <cellStyle name="Normal 5 5 2 2 5 3" xfId="6491" xr:uid="{00000000-0005-0000-0000-00005E1B0000}"/>
    <cellStyle name="Normal 5 5 2 2 5 3 2" xfId="14930" xr:uid="{002ABD7F-B1B4-40A8-8057-9CF3A8FAB73E}"/>
    <cellStyle name="Normal 5 5 2 2 5 4" xfId="10712" xr:uid="{3C55D6D7-A41B-43A7-BF1A-206B6108FAFD}"/>
    <cellStyle name="Normal 5 5 2 2 6" xfId="2620" xr:uid="{00000000-0005-0000-0000-00005F1B0000}"/>
    <cellStyle name="Normal 5 5 2 2 6 2" xfId="6904" xr:uid="{00000000-0005-0000-0000-0000601B0000}"/>
    <cellStyle name="Normal 5 5 2 2 6 2 2" xfId="15343" xr:uid="{B8F359E4-5205-4098-A70B-53D2AF7586AA}"/>
    <cellStyle name="Normal 5 5 2 2 6 3" xfId="11125" xr:uid="{80839EF9-671C-4E32-A37E-0CB44CAB23C3}"/>
    <cellStyle name="Normal 5 5 2 2 7" xfId="4839" xr:uid="{00000000-0005-0000-0000-0000611B0000}"/>
    <cellStyle name="Normal 5 5 2 2 7 2" xfId="13278" xr:uid="{4A740EA4-8EF9-48EF-B981-A946B800CA1A}"/>
    <cellStyle name="Normal 5 5 2 2 8" xfId="9060" xr:uid="{380A465E-34EF-44B0-ABF5-C8D5066E7D1E}"/>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35BF5B77-702B-49DC-A62C-B3AB22561208}"/>
    <cellStyle name="Normal 5 5 2 3 2 3" xfId="11617" xr:uid="{858F05CB-D82C-4ABF-A2F0-ABAD877789BA}"/>
    <cellStyle name="Normal 5 5 2 3 3" xfId="5251" xr:uid="{00000000-0005-0000-0000-0000651B0000}"/>
    <cellStyle name="Normal 5 5 2 3 3 2" xfId="13690" xr:uid="{FC6C47F5-C181-4D1C-8844-B90561AB1DA4}"/>
    <cellStyle name="Normal 5 5 2 3 4" xfId="9472" xr:uid="{191634E7-D2B5-48C1-88E5-42C73D8E2A7E}"/>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E4925EA3-DCAB-454B-8829-13A19A01C336}"/>
    <cellStyle name="Normal 5 5 2 4 2 3" xfId="12030" xr:uid="{4E16ECD8-B572-49DC-8CFC-71B9D6BFBE78}"/>
    <cellStyle name="Normal 5 5 2 4 3" xfId="5664" xr:uid="{00000000-0005-0000-0000-0000691B0000}"/>
    <cellStyle name="Normal 5 5 2 4 3 2" xfId="14103" xr:uid="{54C16A32-9B9B-44A9-A28B-EADD04BA6964}"/>
    <cellStyle name="Normal 5 5 2 4 4" xfId="9885" xr:uid="{07A2FEF5-4355-4951-B96F-E466639D9398}"/>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2DEAF555-A86E-4612-A2D6-DB403DC88376}"/>
    <cellStyle name="Normal 5 5 2 5 2 3" xfId="12443" xr:uid="{1CD6A99C-E5BA-4F1B-916F-3184C866C36A}"/>
    <cellStyle name="Normal 5 5 2 5 3" xfId="6077" xr:uid="{00000000-0005-0000-0000-00006D1B0000}"/>
    <cellStyle name="Normal 5 5 2 5 3 2" xfId="14516" xr:uid="{299B8177-3278-4B48-B68B-32A3603DD202}"/>
    <cellStyle name="Normal 5 5 2 5 4" xfId="10298" xr:uid="{052B7B17-BA0A-4C68-9F63-374E3F7FD820}"/>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A279FEFA-CC56-4919-8FB0-CA37C5097BCB}"/>
    <cellStyle name="Normal 5 5 2 6 2 3" xfId="12856" xr:uid="{24A4E340-2434-4A9B-979A-81F9C8105CFF}"/>
    <cellStyle name="Normal 5 5 2 6 3" xfId="6490" xr:uid="{00000000-0005-0000-0000-0000711B0000}"/>
    <cellStyle name="Normal 5 5 2 6 3 2" xfId="14929" xr:uid="{CA8607D6-0D6F-48EA-8368-D35561BA8451}"/>
    <cellStyle name="Normal 5 5 2 6 4" xfId="10711" xr:uid="{CD2A88EF-7C05-4F24-8E0B-55143BDDD944}"/>
    <cellStyle name="Normal 5 5 2 7" xfId="2619" xr:uid="{00000000-0005-0000-0000-0000721B0000}"/>
    <cellStyle name="Normal 5 5 2 7 2" xfId="6903" xr:uid="{00000000-0005-0000-0000-0000731B0000}"/>
    <cellStyle name="Normal 5 5 2 7 2 2" xfId="15342" xr:uid="{15F72B9E-B87E-46FF-AA5F-84E8843132C7}"/>
    <cellStyle name="Normal 5 5 2 7 3" xfId="11124" xr:uid="{31D4E0B3-ED52-4902-BD6D-E2D2C0DBAD69}"/>
    <cellStyle name="Normal 5 5 2 8" xfId="4838" xr:uid="{00000000-0005-0000-0000-0000741B0000}"/>
    <cellStyle name="Normal 5 5 2 8 2" xfId="13277" xr:uid="{0BE205C4-893A-4841-B89B-D7877AF487BB}"/>
    <cellStyle name="Normal 5 5 2 9" xfId="9059" xr:uid="{15CBFC31-238D-4112-9594-91A308B22F4D}"/>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6E4AE21D-4243-4C5B-8A1B-E54888B856DD}"/>
    <cellStyle name="Normal 5 5 3 2 2 3" xfId="11619" xr:uid="{751B83DE-F812-4FB4-9ED5-467A41F78A7C}"/>
    <cellStyle name="Normal 5 5 3 2 3" xfId="5253" xr:uid="{00000000-0005-0000-0000-0000791B0000}"/>
    <cellStyle name="Normal 5 5 3 2 3 2" xfId="13692" xr:uid="{9152E97A-C132-4B52-808A-DD792BAF9B9A}"/>
    <cellStyle name="Normal 5 5 3 2 4" xfId="9474" xr:uid="{EEA564E8-3762-4264-A0A5-5F3B431F0EA8}"/>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94C719C6-9462-445F-B5DC-4BB862B16A8A}"/>
    <cellStyle name="Normal 5 5 3 3 2 3" xfId="12032" xr:uid="{AC8EDC2E-F5BC-4FE3-AA55-79863420F289}"/>
    <cellStyle name="Normal 5 5 3 3 3" xfId="5666" xr:uid="{00000000-0005-0000-0000-00007D1B0000}"/>
    <cellStyle name="Normal 5 5 3 3 3 2" xfId="14105" xr:uid="{C8536372-181F-4279-A977-80704B5A9EF1}"/>
    <cellStyle name="Normal 5 5 3 3 4" xfId="9887" xr:uid="{E20D5F98-4DA0-4E5E-BACC-680211166C42}"/>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B6379ED2-2EFC-4CAF-AA34-2BD57FC4A731}"/>
    <cellStyle name="Normal 5 5 3 4 2 3" xfId="12445" xr:uid="{A883D1C2-0D07-4A89-8919-3594250C1110}"/>
    <cellStyle name="Normal 5 5 3 4 3" xfId="6079" xr:uid="{00000000-0005-0000-0000-0000811B0000}"/>
    <cellStyle name="Normal 5 5 3 4 3 2" xfId="14518" xr:uid="{B99DE5C8-FBF7-40D6-8763-8F9C9E202334}"/>
    <cellStyle name="Normal 5 5 3 4 4" xfId="10300" xr:uid="{8B649885-0760-4007-93B6-EE41EBA05E55}"/>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7FB17199-453C-45AD-B912-6E354F7C6919}"/>
    <cellStyle name="Normal 5 5 3 5 2 3" xfId="12858" xr:uid="{8366FDFF-B63A-4297-9F43-9CFBACC5007C}"/>
    <cellStyle name="Normal 5 5 3 5 3" xfId="6492" xr:uid="{00000000-0005-0000-0000-0000851B0000}"/>
    <cellStyle name="Normal 5 5 3 5 3 2" xfId="14931" xr:uid="{60BC2813-52BE-4B43-9C08-06A082E9F53B}"/>
    <cellStyle name="Normal 5 5 3 5 4" xfId="10713" xr:uid="{804EE16D-40DC-46AB-B03D-C06894E03ADE}"/>
    <cellStyle name="Normal 5 5 3 6" xfId="2621" xr:uid="{00000000-0005-0000-0000-0000861B0000}"/>
    <cellStyle name="Normal 5 5 3 6 2" xfId="6905" xr:uid="{00000000-0005-0000-0000-0000871B0000}"/>
    <cellStyle name="Normal 5 5 3 6 2 2" xfId="15344" xr:uid="{271F4C15-91F7-40AE-AF8E-64F8DF6CF6A6}"/>
    <cellStyle name="Normal 5 5 3 6 3" xfId="11126" xr:uid="{5E80D9F2-EEA0-4897-A8CA-E9600C70A04D}"/>
    <cellStyle name="Normal 5 5 3 7" xfId="4840" xr:uid="{00000000-0005-0000-0000-0000881B0000}"/>
    <cellStyle name="Normal 5 5 3 7 2" xfId="13279" xr:uid="{88C7A51A-4999-4427-ADB2-5BE254F7DDE8}"/>
    <cellStyle name="Normal 5 5 3 8" xfId="9061" xr:uid="{39C1D6AE-3ABC-4EFE-8215-F928BF19AF68}"/>
    <cellStyle name="Normal 5 5 4" xfId="938" xr:uid="{00000000-0005-0000-0000-0000891B0000}"/>
    <cellStyle name="Normal 5 5 4 2" xfId="3172" xr:uid="{00000000-0005-0000-0000-00008A1B0000}"/>
    <cellStyle name="Normal 5 5 4 2 2" xfId="7395" xr:uid="{00000000-0005-0000-0000-00008B1B0000}"/>
    <cellStyle name="Normal 5 5 4 2 2 2" xfId="15834" xr:uid="{9FD4FA3F-D67C-4B9A-9C5E-00894E60F352}"/>
    <cellStyle name="Normal 5 5 4 2 3" xfId="11616" xr:uid="{0A9931EA-2BBE-4134-A508-1754F83A3EF0}"/>
    <cellStyle name="Normal 5 5 4 3" xfId="5250" xr:uid="{00000000-0005-0000-0000-00008C1B0000}"/>
    <cellStyle name="Normal 5 5 4 3 2" xfId="13689" xr:uid="{1D2A2510-45A2-4462-B55C-2A2C5B43F932}"/>
    <cellStyle name="Normal 5 5 4 4" xfId="9471" xr:uid="{3ECB1C85-C3FC-4DE6-B943-0EB931DA3854}"/>
    <cellStyle name="Normal 5 5 5" xfId="1355" xr:uid="{00000000-0005-0000-0000-00008D1B0000}"/>
    <cellStyle name="Normal 5 5 5 2" xfId="3585" xr:uid="{00000000-0005-0000-0000-00008E1B0000}"/>
    <cellStyle name="Normal 5 5 5 2 2" xfId="7808" xr:uid="{00000000-0005-0000-0000-00008F1B0000}"/>
    <cellStyle name="Normal 5 5 5 2 2 2" xfId="16247" xr:uid="{AB78A1A1-CE6B-467B-8286-371203F2182C}"/>
    <cellStyle name="Normal 5 5 5 2 3" xfId="12029" xr:uid="{7A6BA662-822F-4526-A2C3-3A13D4E7D1F1}"/>
    <cellStyle name="Normal 5 5 5 3" xfId="5663" xr:uid="{00000000-0005-0000-0000-0000901B0000}"/>
    <cellStyle name="Normal 5 5 5 3 2" xfId="14102" xr:uid="{2C90E2E4-5C92-474C-A51D-73CF978193A0}"/>
    <cellStyle name="Normal 5 5 5 4" xfId="9884" xr:uid="{7A6D0429-BFD0-4B9A-BBC1-2E6A84DF0B1E}"/>
    <cellStyle name="Normal 5 5 6" xfId="1768" xr:uid="{00000000-0005-0000-0000-0000911B0000}"/>
    <cellStyle name="Normal 5 5 6 2" xfId="3998" xr:uid="{00000000-0005-0000-0000-0000921B0000}"/>
    <cellStyle name="Normal 5 5 6 2 2" xfId="8221" xr:uid="{00000000-0005-0000-0000-0000931B0000}"/>
    <cellStyle name="Normal 5 5 6 2 2 2" xfId="16660" xr:uid="{E5A44DDF-C62E-4C6E-97BC-89B6D6D9B466}"/>
    <cellStyle name="Normal 5 5 6 2 3" xfId="12442" xr:uid="{19EBFC33-ED44-4DB8-990A-AA282F1CFAE7}"/>
    <cellStyle name="Normal 5 5 6 3" xfId="6076" xr:uid="{00000000-0005-0000-0000-0000941B0000}"/>
    <cellStyle name="Normal 5 5 6 3 2" xfId="14515" xr:uid="{7A7C173A-F8A2-48EC-BEFC-C6246005868C}"/>
    <cellStyle name="Normal 5 5 6 4" xfId="10297" xr:uid="{5AAF0472-7078-4141-98B0-D1111A287412}"/>
    <cellStyle name="Normal 5 5 7" xfId="2182" xr:uid="{00000000-0005-0000-0000-0000951B0000}"/>
    <cellStyle name="Normal 5 5 7 2" xfId="4411" xr:uid="{00000000-0005-0000-0000-0000961B0000}"/>
    <cellStyle name="Normal 5 5 7 2 2" xfId="8634" xr:uid="{00000000-0005-0000-0000-0000971B0000}"/>
    <cellStyle name="Normal 5 5 7 2 2 2" xfId="17073" xr:uid="{43F86BC3-096F-488C-A08D-A7A3FE6345CA}"/>
    <cellStyle name="Normal 5 5 7 2 3" xfId="12855" xr:uid="{EB40701F-B0D2-471B-891E-F3C40F4E1AC1}"/>
    <cellStyle name="Normal 5 5 7 3" xfId="6489" xr:uid="{00000000-0005-0000-0000-0000981B0000}"/>
    <cellStyle name="Normal 5 5 7 3 2" xfId="14928" xr:uid="{80FDB954-73D0-47F9-8734-0CF923AD43D6}"/>
    <cellStyle name="Normal 5 5 7 4" xfId="10710" xr:uid="{9EB473D3-7244-43D9-BC61-EB84D40F8AEE}"/>
    <cellStyle name="Normal 5 5 8" xfId="2618" xr:uid="{00000000-0005-0000-0000-0000991B0000}"/>
    <cellStyle name="Normal 5 5 8 2" xfId="6902" xr:uid="{00000000-0005-0000-0000-00009A1B0000}"/>
    <cellStyle name="Normal 5 5 8 2 2" xfId="15341" xr:uid="{4DB11522-DDD0-4B49-9AE2-D4D0316D8C1E}"/>
    <cellStyle name="Normal 5 5 8 3" xfId="11123" xr:uid="{D6EEBD53-4331-466A-B7D7-04617E9F7D37}"/>
    <cellStyle name="Normal 5 5 9" xfId="4837" xr:uid="{00000000-0005-0000-0000-00009B1B0000}"/>
    <cellStyle name="Normal 5 5 9 2" xfId="13276" xr:uid="{E4E036BE-EAFC-4F6E-9662-1461592B1321}"/>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A737FA6D-BFA0-4ECE-8A1B-7D473A16E64F}"/>
    <cellStyle name="Normal 5 6 2 2 2 3" xfId="11621" xr:uid="{B7B8F174-79C4-437B-AE2D-F91280A58280}"/>
    <cellStyle name="Normal 5 6 2 2 3" xfId="5255" xr:uid="{00000000-0005-0000-0000-0000A11B0000}"/>
    <cellStyle name="Normal 5 6 2 2 3 2" xfId="13694" xr:uid="{81E57A9A-CE3E-4792-B0A0-42D19EA9EC41}"/>
    <cellStyle name="Normal 5 6 2 2 4" xfId="9476" xr:uid="{FD8D0256-003A-4A94-BBC9-DF818FB81BA8}"/>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D2E81C0C-CC7A-4E66-98B1-A56993C3698E}"/>
    <cellStyle name="Normal 5 6 2 3 2 3" xfId="12034" xr:uid="{8FA15DF1-C468-4B64-9EF0-DE26833CF2EB}"/>
    <cellStyle name="Normal 5 6 2 3 3" xfId="5668" xr:uid="{00000000-0005-0000-0000-0000A51B0000}"/>
    <cellStyle name="Normal 5 6 2 3 3 2" xfId="14107" xr:uid="{E3D2272C-FD55-4190-B809-85D27D429302}"/>
    <cellStyle name="Normal 5 6 2 3 4" xfId="9889" xr:uid="{3AB2F2CC-A9C9-49CC-B10E-82FE476205AD}"/>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DFB323A6-CF90-4481-A3AF-86B94FE38090}"/>
    <cellStyle name="Normal 5 6 2 4 2 3" xfId="12447" xr:uid="{F19C255A-F348-47E6-94D6-78EC5786DBCD}"/>
    <cellStyle name="Normal 5 6 2 4 3" xfId="6081" xr:uid="{00000000-0005-0000-0000-0000A91B0000}"/>
    <cellStyle name="Normal 5 6 2 4 3 2" xfId="14520" xr:uid="{E285565B-3BBB-42D9-9B2D-AD60F45EBC2C}"/>
    <cellStyle name="Normal 5 6 2 4 4" xfId="10302" xr:uid="{66EA0EC5-B5B9-434F-8CBB-0CF117AA3E38}"/>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7947A7EE-066C-420D-BFEC-9F5C5907FB53}"/>
    <cellStyle name="Normal 5 6 2 5 2 3" xfId="12860" xr:uid="{C8E3A3D1-5882-401B-815F-D13117BA25B9}"/>
    <cellStyle name="Normal 5 6 2 5 3" xfId="6494" xr:uid="{00000000-0005-0000-0000-0000AD1B0000}"/>
    <cellStyle name="Normal 5 6 2 5 3 2" xfId="14933" xr:uid="{1D48153A-EC48-4D39-944F-F94118868C77}"/>
    <cellStyle name="Normal 5 6 2 5 4" xfId="10715" xr:uid="{0CAD8A55-C872-4B61-BA3B-452425DA3ADA}"/>
    <cellStyle name="Normal 5 6 2 6" xfId="2623" xr:uid="{00000000-0005-0000-0000-0000AE1B0000}"/>
    <cellStyle name="Normal 5 6 2 6 2" xfId="6907" xr:uid="{00000000-0005-0000-0000-0000AF1B0000}"/>
    <cellStyle name="Normal 5 6 2 6 2 2" xfId="15346" xr:uid="{FE79BFA3-9EA3-493E-8DC1-A92EEF9777C7}"/>
    <cellStyle name="Normal 5 6 2 6 3" xfId="11128" xr:uid="{44D7535A-4F50-4BE3-AB89-F5EE7486404A}"/>
    <cellStyle name="Normal 5 6 2 7" xfId="4842" xr:uid="{00000000-0005-0000-0000-0000B01B0000}"/>
    <cellStyle name="Normal 5 6 2 7 2" xfId="13281" xr:uid="{4692E1B8-BC22-4DF9-8F8A-33A887D09F07}"/>
    <cellStyle name="Normal 5 6 2 8" xfId="9063" xr:uid="{70E2C7D3-6D2E-4930-97D1-1293ADAA9A13}"/>
    <cellStyle name="Normal 5 6 3" xfId="942" xr:uid="{00000000-0005-0000-0000-0000B11B0000}"/>
    <cellStyle name="Normal 5 6 3 2" xfId="3176" xr:uid="{00000000-0005-0000-0000-0000B21B0000}"/>
    <cellStyle name="Normal 5 6 3 2 2" xfId="7399" xr:uid="{00000000-0005-0000-0000-0000B31B0000}"/>
    <cellStyle name="Normal 5 6 3 2 2 2" xfId="15838" xr:uid="{A469BB77-4498-4CF1-8978-F8BAD24F25E9}"/>
    <cellStyle name="Normal 5 6 3 2 3" xfId="11620" xr:uid="{1DFCA839-3F71-4A0D-B4E7-921AA470D7CD}"/>
    <cellStyle name="Normal 5 6 3 3" xfId="5254" xr:uid="{00000000-0005-0000-0000-0000B41B0000}"/>
    <cellStyle name="Normal 5 6 3 3 2" xfId="13693" xr:uid="{62B4ECD4-4AA3-44CB-9DEF-C3E513A5ACCC}"/>
    <cellStyle name="Normal 5 6 3 4" xfId="9475" xr:uid="{0C5C4AC7-6FA7-4434-89CD-51B581439938}"/>
    <cellStyle name="Normal 5 6 4" xfId="1359" xr:uid="{00000000-0005-0000-0000-0000B51B0000}"/>
    <cellStyle name="Normal 5 6 4 2" xfId="3589" xr:uid="{00000000-0005-0000-0000-0000B61B0000}"/>
    <cellStyle name="Normal 5 6 4 2 2" xfId="7812" xr:uid="{00000000-0005-0000-0000-0000B71B0000}"/>
    <cellStyle name="Normal 5 6 4 2 2 2" xfId="16251" xr:uid="{73546E10-463D-437C-9E38-05456A939950}"/>
    <cellStyle name="Normal 5 6 4 2 3" xfId="12033" xr:uid="{D984789D-37EA-49BA-9965-5D543A1A2116}"/>
    <cellStyle name="Normal 5 6 4 3" xfId="5667" xr:uid="{00000000-0005-0000-0000-0000B81B0000}"/>
    <cellStyle name="Normal 5 6 4 3 2" xfId="14106" xr:uid="{3B78F15E-57EB-44AB-BF85-103611D1E916}"/>
    <cellStyle name="Normal 5 6 4 4" xfId="9888" xr:uid="{5CF460A8-4BCD-4EAB-B102-D01A9F4121DF}"/>
    <cellStyle name="Normal 5 6 5" xfId="1772" xr:uid="{00000000-0005-0000-0000-0000B91B0000}"/>
    <cellStyle name="Normal 5 6 5 2" xfId="4002" xr:uid="{00000000-0005-0000-0000-0000BA1B0000}"/>
    <cellStyle name="Normal 5 6 5 2 2" xfId="8225" xr:uid="{00000000-0005-0000-0000-0000BB1B0000}"/>
    <cellStyle name="Normal 5 6 5 2 2 2" xfId="16664" xr:uid="{61D5565F-EC45-45C0-B50D-FD4753287693}"/>
    <cellStyle name="Normal 5 6 5 2 3" xfId="12446" xr:uid="{A3E727A0-4569-417F-84D0-27E6F960A6B8}"/>
    <cellStyle name="Normal 5 6 5 3" xfId="6080" xr:uid="{00000000-0005-0000-0000-0000BC1B0000}"/>
    <cellStyle name="Normal 5 6 5 3 2" xfId="14519" xr:uid="{8B40B1B2-77E6-474A-839A-28A28DA507E3}"/>
    <cellStyle name="Normal 5 6 5 4" xfId="10301" xr:uid="{E63D6930-8E44-4225-980E-FFFBC2659EDA}"/>
    <cellStyle name="Normal 5 6 6" xfId="2186" xr:uid="{00000000-0005-0000-0000-0000BD1B0000}"/>
    <cellStyle name="Normal 5 6 6 2" xfId="4415" xr:uid="{00000000-0005-0000-0000-0000BE1B0000}"/>
    <cellStyle name="Normal 5 6 6 2 2" xfId="8638" xr:uid="{00000000-0005-0000-0000-0000BF1B0000}"/>
    <cellStyle name="Normal 5 6 6 2 2 2" xfId="17077" xr:uid="{E3E82188-6D4A-415C-B907-1C47CE0C45A6}"/>
    <cellStyle name="Normal 5 6 6 2 3" xfId="12859" xr:uid="{BED6783D-502B-4AF9-9A5B-A128C815B065}"/>
    <cellStyle name="Normal 5 6 6 3" xfId="6493" xr:uid="{00000000-0005-0000-0000-0000C01B0000}"/>
    <cellStyle name="Normal 5 6 6 3 2" xfId="14932" xr:uid="{440F4F87-C73D-4CE4-8E0B-7DB3D83C63AE}"/>
    <cellStyle name="Normal 5 6 6 4" xfId="10714" xr:uid="{981CD438-C5D5-4731-9B3B-440EF54C952B}"/>
    <cellStyle name="Normal 5 6 7" xfId="2622" xr:uid="{00000000-0005-0000-0000-0000C11B0000}"/>
    <cellStyle name="Normal 5 6 7 2" xfId="6906" xr:uid="{00000000-0005-0000-0000-0000C21B0000}"/>
    <cellStyle name="Normal 5 6 7 2 2" xfId="15345" xr:uid="{B7BB6586-1B9F-43F5-85AA-FA5F16C32C40}"/>
    <cellStyle name="Normal 5 6 7 3" xfId="11127" xr:uid="{B613E757-B5CE-48DD-954E-7FBAF478F8E2}"/>
    <cellStyle name="Normal 5 6 8" xfId="4841" xr:uid="{00000000-0005-0000-0000-0000C31B0000}"/>
    <cellStyle name="Normal 5 6 8 2" xfId="13280" xr:uid="{7E28DB9B-2785-4FBB-AB25-44E4C12ABD6C}"/>
    <cellStyle name="Normal 5 6 9" xfId="9062" xr:uid="{D0DB270C-5CEE-405D-B8D1-30B8CF236754}"/>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7368D4B4-E95D-46C2-8BFD-F16213FBF1E1}"/>
    <cellStyle name="Normal 5 7 2 2 3" xfId="11622" xr:uid="{F9D3A879-7663-4F4A-BE4E-E6696E5C1607}"/>
    <cellStyle name="Normal 5 7 2 3" xfId="5256" xr:uid="{00000000-0005-0000-0000-0000C81B0000}"/>
    <cellStyle name="Normal 5 7 2 3 2" xfId="13695" xr:uid="{DBC8D035-DF8C-4C86-82A1-A60C2FA2A321}"/>
    <cellStyle name="Normal 5 7 2 4" xfId="9477" xr:uid="{67FC0693-67B2-4609-AC4E-22AA31DB8317}"/>
    <cellStyle name="Normal 5 7 3" xfId="1361" xr:uid="{00000000-0005-0000-0000-0000C91B0000}"/>
    <cellStyle name="Normal 5 7 3 2" xfId="3591" xr:uid="{00000000-0005-0000-0000-0000CA1B0000}"/>
    <cellStyle name="Normal 5 7 3 2 2" xfId="7814" xr:uid="{00000000-0005-0000-0000-0000CB1B0000}"/>
    <cellStyle name="Normal 5 7 3 2 2 2" xfId="16253" xr:uid="{464F0435-0827-4642-81EF-6149E3D01681}"/>
    <cellStyle name="Normal 5 7 3 2 3" xfId="12035" xr:uid="{0A874E99-14A4-465E-B30D-DBCEAF260242}"/>
    <cellStyle name="Normal 5 7 3 3" xfId="5669" xr:uid="{00000000-0005-0000-0000-0000CC1B0000}"/>
    <cellStyle name="Normal 5 7 3 3 2" xfId="14108" xr:uid="{656F012F-C2A3-4338-9155-35E60863C66B}"/>
    <cellStyle name="Normal 5 7 3 4" xfId="9890" xr:uid="{6E745560-9032-425A-BC12-4B41DFBE44FD}"/>
    <cellStyle name="Normal 5 7 4" xfId="1774" xr:uid="{00000000-0005-0000-0000-0000CD1B0000}"/>
    <cellStyle name="Normal 5 7 4 2" xfId="4004" xr:uid="{00000000-0005-0000-0000-0000CE1B0000}"/>
    <cellStyle name="Normal 5 7 4 2 2" xfId="8227" xr:uid="{00000000-0005-0000-0000-0000CF1B0000}"/>
    <cellStyle name="Normal 5 7 4 2 2 2" xfId="16666" xr:uid="{33F33603-EE4D-4723-8B41-2CFC0C053A3C}"/>
    <cellStyle name="Normal 5 7 4 2 3" xfId="12448" xr:uid="{462048A4-FFF1-4E19-9CAA-CAEE964ABE4B}"/>
    <cellStyle name="Normal 5 7 4 3" xfId="6082" xr:uid="{00000000-0005-0000-0000-0000D01B0000}"/>
    <cellStyle name="Normal 5 7 4 3 2" xfId="14521" xr:uid="{0BE46E95-47B5-4808-9A00-8E6D413F87C8}"/>
    <cellStyle name="Normal 5 7 4 4" xfId="10303" xr:uid="{1C20A09B-ADF9-47C5-BB34-39E5937DF337}"/>
    <cellStyle name="Normal 5 7 5" xfId="2188" xr:uid="{00000000-0005-0000-0000-0000D11B0000}"/>
    <cellStyle name="Normal 5 7 5 2" xfId="4417" xr:uid="{00000000-0005-0000-0000-0000D21B0000}"/>
    <cellStyle name="Normal 5 7 5 2 2" xfId="8640" xr:uid="{00000000-0005-0000-0000-0000D31B0000}"/>
    <cellStyle name="Normal 5 7 5 2 2 2" xfId="17079" xr:uid="{EE146A7E-90A5-4FE6-9B25-0999A8EE40BA}"/>
    <cellStyle name="Normal 5 7 5 2 3" xfId="12861" xr:uid="{FB7B9AA9-8834-462E-B193-5B7C2C9978AF}"/>
    <cellStyle name="Normal 5 7 5 3" xfId="6495" xr:uid="{00000000-0005-0000-0000-0000D41B0000}"/>
    <cellStyle name="Normal 5 7 5 3 2" xfId="14934" xr:uid="{BA6C4622-2AF1-4BDE-B3E1-BABC960D71C7}"/>
    <cellStyle name="Normal 5 7 5 4" xfId="10716" xr:uid="{FBEAE7C8-796F-453F-9806-9BBA7D202C04}"/>
    <cellStyle name="Normal 5 7 6" xfId="2624" xr:uid="{00000000-0005-0000-0000-0000D51B0000}"/>
    <cellStyle name="Normal 5 7 6 2" xfId="6908" xr:uid="{00000000-0005-0000-0000-0000D61B0000}"/>
    <cellStyle name="Normal 5 7 6 2 2" xfId="15347" xr:uid="{0E0E4CE0-D4A9-4660-92B0-F1A888A929B2}"/>
    <cellStyle name="Normal 5 7 6 3" xfId="11129" xr:uid="{52D0262A-521A-4895-9F99-42368E41ED42}"/>
    <cellStyle name="Normal 5 7 7" xfId="4843" xr:uid="{00000000-0005-0000-0000-0000D71B0000}"/>
    <cellStyle name="Normal 5 7 7 2" xfId="13282" xr:uid="{60E177FC-5FD8-4968-8180-2958115C42AE}"/>
    <cellStyle name="Normal 5 7 8" xfId="9064" xr:uid="{36F7EBB7-5C9C-4F54-896F-61D1FE8531B5}"/>
    <cellStyle name="Normal 5 8" xfId="880" xr:uid="{00000000-0005-0000-0000-0000D81B0000}"/>
    <cellStyle name="Normal 5 8 2" xfId="3115" xr:uid="{00000000-0005-0000-0000-0000D91B0000}"/>
    <cellStyle name="Normal 5 8 2 2" xfId="7338" xr:uid="{00000000-0005-0000-0000-0000DA1B0000}"/>
    <cellStyle name="Normal 5 8 2 2 2" xfId="15777" xr:uid="{4ABCBAC0-0E58-4FD2-A132-D98CEAF704AA}"/>
    <cellStyle name="Normal 5 8 2 3" xfId="11559" xr:uid="{E71EFB58-14AF-4E76-B0F8-801DB52AC074}"/>
    <cellStyle name="Normal 5 8 3" xfId="5193" xr:uid="{00000000-0005-0000-0000-0000DB1B0000}"/>
    <cellStyle name="Normal 5 8 3 2" xfId="13632" xr:uid="{04581F50-7F42-4F0E-9316-F74EC32D8F78}"/>
    <cellStyle name="Normal 5 8 4" xfId="9414" xr:uid="{BBB09DF9-491A-4B8D-B462-34BC4EB2DEA5}"/>
    <cellStyle name="Normal 5 9" xfId="1298" xr:uid="{00000000-0005-0000-0000-0000DC1B0000}"/>
    <cellStyle name="Normal 5 9 2" xfId="3528" xr:uid="{00000000-0005-0000-0000-0000DD1B0000}"/>
    <cellStyle name="Normal 5 9 2 2" xfId="7751" xr:uid="{00000000-0005-0000-0000-0000DE1B0000}"/>
    <cellStyle name="Normal 5 9 2 2 2" xfId="16190" xr:uid="{A13373DD-2741-4E76-A1D7-A23579D895D8}"/>
    <cellStyle name="Normal 5 9 2 3" xfId="11972" xr:uid="{E0034EF8-95F6-4522-A1AD-A77954DFB4A2}"/>
    <cellStyle name="Normal 5 9 3" xfId="5606" xr:uid="{00000000-0005-0000-0000-0000DF1B0000}"/>
    <cellStyle name="Normal 5 9 3 2" xfId="14045" xr:uid="{A64E829C-A382-46F9-BFEC-52EB6866919D}"/>
    <cellStyle name="Normal 5 9 4" xfId="9827" xr:uid="{374E7D6D-E777-4132-99A1-71CC9CADCA5B}"/>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0960656F-D187-4D9B-BDA3-1632BD966142}"/>
    <cellStyle name="Normal 8 10 2 3" xfId="12862" xr:uid="{27F8229F-D6C5-48FC-8936-D90B930549FA}"/>
    <cellStyle name="Normal 8 10 3" xfId="6496" xr:uid="{00000000-0005-0000-0000-0000EB1B0000}"/>
    <cellStyle name="Normal 8 10 3 2" xfId="14935" xr:uid="{60533E38-61C7-4AB6-9497-5DFAEEFC6B39}"/>
    <cellStyle name="Normal 8 10 4" xfId="10717" xr:uid="{21796B57-6429-4C67-8ED3-C7071CA4082A}"/>
    <cellStyle name="Normal 8 11" xfId="2625" xr:uid="{00000000-0005-0000-0000-0000EC1B0000}"/>
    <cellStyle name="Normal 8 11 2" xfId="6909" xr:uid="{00000000-0005-0000-0000-0000ED1B0000}"/>
    <cellStyle name="Normal 8 11 2 2" xfId="15348" xr:uid="{B2A4F160-66E1-4E81-9BEA-83D7964F064A}"/>
    <cellStyle name="Normal 8 11 3" xfId="11130" xr:uid="{CADABA01-770B-4D8D-A350-E2FE103F4BF1}"/>
    <cellStyle name="Normal 8 12" xfId="4844" xr:uid="{00000000-0005-0000-0000-0000EE1B0000}"/>
    <cellStyle name="Normal 8 12 2" xfId="13283" xr:uid="{AB0C78E5-EF52-4FD6-AF5A-16AB703F6DA5}"/>
    <cellStyle name="Normal 8 13" xfId="9065" xr:uid="{832E6AAE-8F83-413C-9AF2-5A51F3EEC6F7}"/>
    <cellStyle name="Normal 8 2" xfId="479" xr:uid="{00000000-0005-0000-0000-0000EF1B0000}"/>
    <cellStyle name="Normal 8 2 10" xfId="2626" xr:uid="{00000000-0005-0000-0000-0000F01B0000}"/>
    <cellStyle name="Normal 8 2 10 2" xfId="6910" xr:uid="{00000000-0005-0000-0000-0000F11B0000}"/>
    <cellStyle name="Normal 8 2 10 2 2" xfId="15349" xr:uid="{DB7E313A-B6DE-427E-8D40-D4EA52E404BD}"/>
    <cellStyle name="Normal 8 2 10 3" xfId="11131" xr:uid="{F92FEB71-FC6E-4F37-A831-AE1544920A93}"/>
    <cellStyle name="Normal 8 2 11" xfId="4845" xr:uid="{00000000-0005-0000-0000-0000F21B0000}"/>
    <cellStyle name="Normal 8 2 11 2" xfId="13284" xr:uid="{E9ACF634-A477-459D-A88F-595CF8611FE0}"/>
    <cellStyle name="Normal 8 2 12" xfId="9066" xr:uid="{13B00E76-49A7-4E84-BCDA-659531C5CCEF}"/>
    <cellStyle name="Normal 8 2 2" xfId="480" xr:uid="{00000000-0005-0000-0000-0000F31B0000}"/>
    <cellStyle name="Normal 8 2 2 10" xfId="4846" xr:uid="{00000000-0005-0000-0000-0000F41B0000}"/>
    <cellStyle name="Normal 8 2 2 10 2" xfId="13285" xr:uid="{EC7C12A2-44E9-4166-A63E-078199E09875}"/>
    <cellStyle name="Normal 8 2 2 11" xfId="9067" xr:uid="{C3A66E5D-819A-4AC0-8729-2D89793B5B37}"/>
    <cellStyle name="Normal 8 2 2 2" xfId="481" xr:uid="{00000000-0005-0000-0000-0000F51B0000}"/>
    <cellStyle name="Normal 8 2 2 2 10" xfId="9068" xr:uid="{578AC97B-5B27-4010-B9E6-E1008E536CF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E4D144EF-19A0-4D61-BC80-ADE4224F0338}"/>
    <cellStyle name="Normal 8 2 2 2 2 2 2 2 3" xfId="11628" xr:uid="{76B24986-8EF2-458E-A2D8-51555DCD7C53}"/>
    <cellStyle name="Normal 8 2 2 2 2 2 2 3" xfId="5262" xr:uid="{00000000-0005-0000-0000-0000FB1B0000}"/>
    <cellStyle name="Normal 8 2 2 2 2 2 2 3 2" xfId="13701" xr:uid="{E976C321-1F9C-4885-80A7-96558C30A724}"/>
    <cellStyle name="Normal 8 2 2 2 2 2 2 4" xfId="9483" xr:uid="{AF79DE8D-392D-4D47-9E24-0D73C0E61AFA}"/>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C5043B14-C8E9-4714-B077-8EF3BA06F035}"/>
    <cellStyle name="Normal 8 2 2 2 2 2 3 2 3" xfId="12041" xr:uid="{72419793-DBCA-41BC-A78A-E18E261E6A61}"/>
    <cellStyle name="Normal 8 2 2 2 2 2 3 3" xfId="5675" xr:uid="{00000000-0005-0000-0000-0000FF1B0000}"/>
    <cellStyle name="Normal 8 2 2 2 2 2 3 3 2" xfId="14114" xr:uid="{4587E5FD-C781-4B39-9DB5-E6000EAAA489}"/>
    <cellStyle name="Normal 8 2 2 2 2 2 3 4" xfId="9896" xr:uid="{D031B198-C133-45CC-BCB0-0CE18F4D5365}"/>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A73834D2-48C7-47D9-BA65-E9FCAF02E5D2}"/>
    <cellStyle name="Normal 8 2 2 2 2 2 4 2 3" xfId="12454" xr:uid="{AAB1F70C-B8CE-4DEA-9A82-C174325EACE5}"/>
    <cellStyle name="Normal 8 2 2 2 2 2 4 3" xfId="6088" xr:uid="{00000000-0005-0000-0000-0000031C0000}"/>
    <cellStyle name="Normal 8 2 2 2 2 2 4 3 2" xfId="14527" xr:uid="{C05A987A-1F93-4AB9-949E-76538FBB9F4C}"/>
    <cellStyle name="Normal 8 2 2 2 2 2 4 4" xfId="10309" xr:uid="{2653942F-A417-46F7-8CB4-B49DA72DB843}"/>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49083ED9-2569-4434-A59A-FB4561D4CBFC}"/>
    <cellStyle name="Normal 8 2 2 2 2 2 5 2 3" xfId="12867" xr:uid="{13B116A9-B390-4FCF-927A-F9C43B612339}"/>
    <cellStyle name="Normal 8 2 2 2 2 2 5 3" xfId="6501" xr:uid="{00000000-0005-0000-0000-0000071C0000}"/>
    <cellStyle name="Normal 8 2 2 2 2 2 5 3 2" xfId="14940" xr:uid="{6871EF4E-1B90-4E7C-B004-9750326B5439}"/>
    <cellStyle name="Normal 8 2 2 2 2 2 5 4" xfId="10722" xr:uid="{944703A5-2795-41DA-96F8-7B991C99DA91}"/>
    <cellStyle name="Normal 8 2 2 2 2 2 6" xfId="2630" xr:uid="{00000000-0005-0000-0000-0000081C0000}"/>
    <cellStyle name="Normal 8 2 2 2 2 2 6 2" xfId="6914" xr:uid="{00000000-0005-0000-0000-0000091C0000}"/>
    <cellStyle name="Normal 8 2 2 2 2 2 6 2 2" xfId="15353" xr:uid="{EA2A5478-4BA8-4186-AF7E-BFA7E971F147}"/>
    <cellStyle name="Normal 8 2 2 2 2 2 6 3" xfId="11135" xr:uid="{9F164128-6508-4F58-BD7D-D135F64D338F}"/>
    <cellStyle name="Normal 8 2 2 2 2 2 7" xfId="4849" xr:uid="{00000000-0005-0000-0000-00000A1C0000}"/>
    <cellStyle name="Normal 8 2 2 2 2 2 7 2" xfId="13288" xr:uid="{4C9D301D-B2BD-45F2-9785-0A93B0A1A49D}"/>
    <cellStyle name="Normal 8 2 2 2 2 2 8" xfId="9070" xr:uid="{CB526F97-17CD-4FB6-A7C3-CA0C7D6DD596}"/>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B7114DD6-5B2D-466B-BC74-281BAF15D220}"/>
    <cellStyle name="Normal 8 2 2 2 2 3 2 3" xfId="11627" xr:uid="{0188C42B-AECC-4373-A71A-342C61EE0E04}"/>
    <cellStyle name="Normal 8 2 2 2 2 3 3" xfId="5261" xr:uid="{00000000-0005-0000-0000-00000E1C0000}"/>
    <cellStyle name="Normal 8 2 2 2 2 3 3 2" xfId="13700" xr:uid="{4CA68D28-1CD4-4615-96A2-FB998017D303}"/>
    <cellStyle name="Normal 8 2 2 2 2 3 4" xfId="9482" xr:uid="{EDFC589F-01FC-4AD4-A5D2-E4EDC929A9E6}"/>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2058F3DA-C698-423F-9D21-52EAC2D8D8E9}"/>
    <cellStyle name="Normal 8 2 2 2 2 4 2 3" xfId="12040" xr:uid="{291DC14C-0238-42EB-A309-28BA2B577FA7}"/>
    <cellStyle name="Normal 8 2 2 2 2 4 3" xfId="5674" xr:uid="{00000000-0005-0000-0000-0000121C0000}"/>
    <cellStyle name="Normal 8 2 2 2 2 4 3 2" xfId="14113" xr:uid="{5435763F-A7CA-4B19-8A6F-296D5EB67E1A}"/>
    <cellStyle name="Normal 8 2 2 2 2 4 4" xfId="9895" xr:uid="{BE62FC54-4619-484C-B456-DF54B6D188C2}"/>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B55BA390-ECD8-4DDC-AC9F-AAEBF6C2D4C9}"/>
    <cellStyle name="Normal 8 2 2 2 2 5 2 3" xfId="12453" xr:uid="{8CD314FC-A439-44FF-BBD0-F53A36075A57}"/>
    <cellStyle name="Normal 8 2 2 2 2 5 3" xfId="6087" xr:uid="{00000000-0005-0000-0000-0000161C0000}"/>
    <cellStyle name="Normal 8 2 2 2 2 5 3 2" xfId="14526" xr:uid="{F2B6B02C-1102-4D55-80D8-126460F803A3}"/>
    <cellStyle name="Normal 8 2 2 2 2 5 4" xfId="10308" xr:uid="{DDF8E649-3C1D-4B61-82BC-C642A71CBAF2}"/>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F38B7F92-5C73-4381-9779-BF33FC1DF3F2}"/>
    <cellStyle name="Normal 8 2 2 2 2 6 2 3" xfId="12866" xr:uid="{27F1E00C-08CA-49D4-9DBA-59398640B06B}"/>
    <cellStyle name="Normal 8 2 2 2 2 6 3" xfId="6500" xr:uid="{00000000-0005-0000-0000-00001A1C0000}"/>
    <cellStyle name="Normal 8 2 2 2 2 6 3 2" xfId="14939" xr:uid="{CF351FA9-1788-4273-A2CA-E6E5114D413D}"/>
    <cellStyle name="Normal 8 2 2 2 2 6 4" xfId="10721" xr:uid="{D173EE28-7E67-4A70-B40F-4F5CE5B77448}"/>
    <cellStyle name="Normal 8 2 2 2 2 7" xfId="2629" xr:uid="{00000000-0005-0000-0000-00001B1C0000}"/>
    <cellStyle name="Normal 8 2 2 2 2 7 2" xfId="6913" xr:uid="{00000000-0005-0000-0000-00001C1C0000}"/>
    <cellStyle name="Normal 8 2 2 2 2 7 2 2" xfId="15352" xr:uid="{6BCAE454-69BE-4C20-9A0E-D94886CA7BE9}"/>
    <cellStyle name="Normal 8 2 2 2 2 7 3" xfId="11134" xr:uid="{5D820812-3CBE-4E00-A397-4F1041B3D454}"/>
    <cellStyle name="Normal 8 2 2 2 2 8" xfId="4848" xr:uid="{00000000-0005-0000-0000-00001D1C0000}"/>
    <cellStyle name="Normal 8 2 2 2 2 8 2" xfId="13287" xr:uid="{32496577-35FD-40C3-91E5-94F3F9A1DD87}"/>
    <cellStyle name="Normal 8 2 2 2 2 9" xfId="9069" xr:uid="{26F16805-BBE9-46DA-9520-8E22CCE24F6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0CD7DC3F-0D6C-4D86-ADEC-2E60857AB8E5}"/>
    <cellStyle name="Normal 8 2 2 2 3 2 2 3" xfId="11629" xr:uid="{76DE0633-72AB-4270-AB97-60617F75241E}"/>
    <cellStyle name="Normal 8 2 2 2 3 2 3" xfId="5263" xr:uid="{00000000-0005-0000-0000-0000221C0000}"/>
    <cellStyle name="Normal 8 2 2 2 3 2 3 2" xfId="13702" xr:uid="{2967ADE2-B9AB-473A-93F6-99F757CCA8DA}"/>
    <cellStyle name="Normal 8 2 2 2 3 2 4" xfId="9484" xr:uid="{BF652CE6-8D0C-4656-95F9-A07FE8679C0D}"/>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6F09B0FD-D335-4380-875E-81F4A679E512}"/>
    <cellStyle name="Normal 8 2 2 2 3 3 2 3" xfId="12042" xr:uid="{8CF14560-A82C-4F97-8A0B-673488206E21}"/>
    <cellStyle name="Normal 8 2 2 2 3 3 3" xfId="5676" xr:uid="{00000000-0005-0000-0000-0000261C0000}"/>
    <cellStyle name="Normal 8 2 2 2 3 3 3 2" xfId="14115" xr:uid="{7CF95F56-A95B-4AC7-AE5A-D23C1884B4A8}"/>
    <cellStyle name="Normal 8 2 2 2 3 3 4" xfId="9897" xr:uid="{3AAE3CBC-43CF-46C2-A6F6-984B109A3CCE}"/>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34DBA33E-19A5-4145-823D-E4851528E65D}"/>
    <cellStyle name="Normal 8 2 2 2 3 4 2 3" xfId="12455" xr:uid="{C33B0AF8-6541-4BD9-9990-DEFA5A475BFF}"/>
    <cellStyle name="Normal 8 2 2 2 3 4 3" xfId="6089" xr:uid="{00000000-0005-0000-0000-00002A1C0000}"/>
    <cellStyle name="Normal 8 2 2 2 3 4 3 2" xfId="14528" xr:uid="{F89FE905-3476-4A74-BB8D-65CB1DB74844}"/>
    <cellStyle name="Normal 8 2 2 2 3 4 4" xfId="10310" xr:uid="{D58ED5EC-4A44-48FD-B2EF-9D8011F72B6A}"/>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0BA51D42-573D-45B3-95D3-22A4376D4AD6}"/>
    <cellStyle name="Normal 8 2 2 2 3 5 2 3" xfId="12868" xr:uid="{1BD6F166-B133-466B-9721-FF86D77C2C37}"/>
    <cellStyle name="Normal 8 2 2 2 3 5 3" xfId="6502" xr:uid="{00000000-0005-0000-0000-00002E1C0000}"/>
    <cellStyle name="Normal 8 2 2 2 3 5 3 2" xfId="14941" xr:uid="{1DADE870-0563-40DC-87A4-18773F535D09}"/>
    <cellStyle name="Normal 8 2 2 2 3 5 4" xfId="10723" xr:uid="{27422EB9-D8D0-41F1-8440-3129C175DB2C}"/>
    <cellStyle name="Normal 8 2 2 2 3 6" xfId="2631" xr:uid="{00000000-0005-0000-0000-00002F1C0000}"/>
    <cellStyle name="Normal 8 2 2 2 3 6 2" xfId="6915" xr:uid="{00000000-0005-0000-0000-0000301C0000}"/>
    <cellStyle name="Normal 8 2 2 2 3 6 2 2" xfId="15354" xr:uid="{CD073B20-7E46-49C6-A9A0-FAF90A96D3C3}"/>
    <cellStyle name="Normal 8 2 2 2 3 6 3" xfId="11136" xr:uid="{E89E00FD-7A80-43DB-BFDA-37CB894F0A20}"/>
    <cellStyle name="Normal 8 2 2 2 3 7" xfId="4850" xr:uid="{00000000-0005-0000-0000-0000311C0000}"/>
    <cellStyle name="Normal 8 2 2 2 3 7 2" xfId="13289" xr:uid="{074D034C-C9A4-4894-98EB-925CDB492BAC}"/>
    <cellStyle name="Normal 8 2 2 2 3 8" xfId="9071" xr:uid="{14E19123-5371-4EA3-A71D-8FD6E6B0D744}"/>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80E50916-86FF-4EA1-BEC4-B23BCB08AE3F}"/>
    <cellStyle name="Normal 8 2 2 2 4 2 3" xfId="11626" xr:uid="{34AB9E53-CBE2-4345-BF03-08CD59F9930E}"/>
    <cellStyle name="Normal 8 2 2 2 4 3" xfId="5260" xr:uid="{00000000-0005-0000-0000-0000351C0000}"/>
    <cellStyle name="Normal 8 2 2 2 4 3 2" xfId="13699" xr:uid="{A9BBBC56-7ACA-4096-826B-0E1CBD6DE195}"/>
    <cellStyle name="Normal 8 2 2 2 4 4" xfId="9481" xr:uid="{47F3CD40-040F-4BD3-A73E-0D70F2232A63}"/>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315FC410-0AA8-433A-BEC2-34F6666B1741}"/>
    <cellStyle name="Normal 8 2 2 2 5 2 3" xfId="12039" xr:uid="{2ADF12CF-8A7E-49B7-A201-8FAD6884BD3A}"/>
    <cellStyle name="Normal 8 2 2 2 5 3" xfId="5673" xr:uid="{00000000-0005-0000-0000-0000391C0000}"/>
    <cellStyle name="Normal 8 2 2 2 5 3 2" xfId="14112" xr:uid="{F419C27D-9AEB-47A5-855D-F3F551612173}"/>
    <cellStyle name="Normal 8 2 2 2 5 4" xfId="9894" xr:uid="{2E3FBF35-D20E-4DE3-8CEC-FDEC8C317263}"/>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F693567A-536A-482F-81EE-3344BBEA01C4}"/>
    <cellStyle name="Normal 8 2 2 2 6 2 3" xfId="12452" xr:uid="{E90AAC30-EA71-4B02-84BC-891F7CB8EFCF}"/>
    <cellStyle name="Normal 8 2 2 2 6 3" xfId="6086" xr:uid="{00000000-0005-0000-0000-00003D1C0000}"/>
    <cellStyle name="Normal 8 2 2 2 6 3 2" xfId="14525" xr:uid="{B087AA99-5B2E-4B87-8904-45B1B6BB66AC}"/>
    <cellStyle name="Normal 8 2 2 2 6 4" xfId="10307" xr:uid="{58C16FAE-3902-4C17-8D60-8569C62D351D}"/>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97A98D83-FDE3-4753-A1A9-6CA145AB5197}"/>
    <cellStyle name="Normal 8 2 2 2 7 2 3" xfId="12865" xr:uid="{FEF18DB3-CF7C-454F-9629-933D4B671194}"/>
    <cellStyle name="Normal 8 2 2 2 7 3" xfId="6499" xr:uid="{00000000-0005-0000-0000-0000411C0000}"/>
    <cellStyle name="Normal 8 2 2 2 7 3 2" xfId="14938" xr:uid="{BE26ADEB-03D9-4DE6-BB4C-32F85E3D8DC7}"/>
    <cellStyle name="Normal 8 2 2 2 7 4" xfId="10720" xr:uid="{C575DC25-9B86-476F-92B2-55E78CDA512E}"/>
    <cellStyle name="Normal 8 2 2 2 8" xfId="2628" xr:uid="{00000000-0005-0000-0000-0000421C0000}"/>
    <cellStyle name="Normal 8 2 2 2 8 2" xfId="6912" xr:uid="{00000000-0005-0000-0000-0000431C0000}"/>
    <cellStyle name="Normal 8 2 2 2 8 2 2" xfId="15351" xr:uid="{48BBE499-5230-4B0B-AB03-3DA7A2D083CD}"/>
    <cellStyle name="Normal 8 2 2 2 8 3" xfId="11133" xr:uid="{5F7664C1-3503-4DE7-A201-EF15C3CADD82}"/>
    <cellStyle name="Normal 8 2 2 2 9" xfId="4847" xr:uid="{00000000-0005-0000-0000-0000441C0000}"/>
    <cellStyle name="Normal 8 2 2 2 9 2" xfId="13286" xr:uid="{396BD972-9DCF-4349-8EC5-79AE4FF12FBC}"/>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5D2B6863-1373-42A6-AF78-B4E1CD1EF41B}"/>
    <cellStyle name="Normal 8 2 2 3 2 2 2 3" xfId="11631" xr:uid="{5FE4AC6D-15EE-4773-8DCB-D10A71E6E6B7}"/>
    <cellStyle name="Normal 8 2 2 3 2 2 3" xfId="5265" xr:uid="{00000000-0005-0000-0000-00004A1C0000}"/>
    <cellStyle name="Normal 8 2 2 3 2 2 3 2" xfId="13704" xr:uid="{18F6B1B5-8026-49B0-8FE3-163A29058EC5}"/>
    <cellStyle name="Normal 8 2 2 3 2 2 4" xfId="9486" xr:uid="{2A8FF092-417D-40F1-B729-F8E3B2A708D5}"/>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98550962-C34E-4381-B146-EE6E51D24CD2}"/>
    <cellStyle name="Normal 8 2 2 3 2 3 2 3" xfId="12044" xr:uid="{A24D904D-854A-482E-8C4B-EAA23A575831}"/>
    <cellStyle name="Normal 8 2 2 3 2 3 3" xfId="5678" xr:uid="{00000000-0005-0000-0000-00004E1C0000}"/>
    <cellStyle name="Normal 8 2 2 3 2 3 3 2" xfId="14117" xr:uid="{5936A444-65B4-48AF-8B28-CD93ED70575A}"/>
    <cellStyle name="Normal 8 2 2 3 2 3 4" xfId="9899" xr:uid="{649A6D85-9B14-40CC-8AF8-D3BC343D02B5}"/>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012796AA-4DA9-42B4-B607-82C068B27F6F}"/>
    <cellStyle name="Normal 8 2 2 3 2 4 2 3" xfId="12457" xr:uid="{9E956108-9241-4464-B47D-8ECC96C0D5FA}"/>
    <cellStyle name="Normal 8 2 2 3 2 4 3" xfId="6091" xr:uid="{00000000-0005-0000-0000-0000521C0000}"/>
    <cellStyle name="Normal 8 2 2 3 2 4 3 2" xfId="14530" xr:uid="{E6BC88FB-EA6A-4F8C-9F33-12755D2A62F8}"/>
    <cellStyle name="Normal 8 2 2 3 2 4 4" xfId="10312" xr:uid="{14673478-BB19-49F1-A0CE-4DA8517E8CC2}"/>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FEA696B8-1DB3-43B6-AF40-B4BABBDB73CF}"/>
    <cellStyle name="Normal 8 2 2 3 2 5 2 3" xfId="12870" xr:uid="{0550BF13-C928-4852-9CBC-DB6115B18E70}"/>
    <cellStyle name="Normal 8 2 2 3 2 5 3" xfId="6504" xr:uid="{00000000-0005-0000-0000-0000561C0000}"/>
    <cellStyle name="Normal 8 2 2 3 2 5 3 2" xfId="14943" xr:uid="{C72C153C-A336-4A2D-963D-603834CB1435}"/>
    <cellStyle name="Normal 8 2 2 3 2 5 4" xfId="10725" xr:uid="{EC64A22C-5316-422F-9FB1-1DFCD94F5820}"/>
    <cellStyle name="Normal 8 2 2 3 2 6" xfId="2633" xr:uid="{00000000-0005-0000-0000-0000571C0000}"/>
    <cellStyle name="Normal 8 2 2 3 2 6 2" xfId="6917" xr:uid="{00000000-0005-0000-0000-0000581C0000}"/>
    <cellStyle name="Normal 8 2 2 3 2 6 2 2" xfId="15356" xr:uid="{B497D152-6E05-4AF7-8B06-81B0D042F739}"/>
    <cellStyle name="Normal 8 2 2 3 2 6 3" xfId="11138" xr:uid="{890D80E0-5B40-462D-A6ED-33CF18F165F5}"/>
    <cellStyle name="Normal 8 2 2 3 2 7" xfId="4852" xr:uid="{00000000-0005-0000-0000-0000591C0000}"/>
    <cellStyle name="Normal 8 2 2 3 2 7 2" xfId="13291" xr:uid="{4FC32BF8-6B5A-4103-9A2C-EA4FF6B4F723}"/>
    <cellStyle name="Normal 8 2 2 3 2 8" xfId="9073" xr:uid="{A4EB48F4-FD1F-413D-8201-0D4EED51F5A5}"/>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058F0A92-B19E-4796-A8D5-90F4E95F1221}"/>
    <cellStyle name="Normal 8 2 2 3 3 2 3" xfId="11630" xr:uid="{04A43113-2C03-4C07-AF51-2A4C31288B78}"/>
    <cellStyle name="Normal 8 2 2 3 3 3" xfId="5264" xr:uid="{00000000-0005-0000-0000-00005D1C0000}"/>
    <cellStyle name="Normal 8 2 2 3 3 3 2" xfId="13703" xr:uid="{A90B1588-EE65-40E8-ABD2-AEDC2BEDD913}"/>
    <cellStyle name="Normal 8 2 2 3 3 4" xfId="9485" xr:uid="{F6E90B1B-71C2-456E-9B6A-7486ABBA7A7F}"/>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24D990C6-0A0E-476D-9DFE-E5D613126974}"/>
    <cellStyle name="Normal 8 2 2 3 4 2 3" xfId="12043" xr:uid="{1C4B9E58-5EBA-4D4D-8AFA-D72B55A257C3}"/>
    <cellStyle name="Normal 8 2 2 3 4 3" xfId="5677" xr:uid="{00000000-0005-0000-0000-0000611C0000}"/>
    <cellStyle name="Normal 8 2 2 3 4 3 2" xfId="14116" xr:uid="{053D9E5D-E9B5-4ECF-8FDB-4C672C15FDFF}"/>
    <cellStyle name="Normal 8 2 2 3 4 4" xfId="9898" xr:uid="{6E5278C2-D8B8-4199-B5A9-6C56889BA463}"/>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CF39D434-2D98-4CB1-9D97-AF4CAE0D7AA3}"/>
    <cellStyle name="Normal 8 2 2 3 5 2 3" xfId="12456" xr:uid="{19220092-DFA7-459C-9561-14C77EE62571}"/>
    <cellStyle name="Normal 8 2 2 3 5 3" xfId="6090" xr:uid="{00000000-0005-0000-0000-0000651C0000}"/>
    <cellStyle name="Normal 8 2 2 3 5 3 2" xfId="14529" xr:uid="{7A66224C-525A-4446-8381-28CCCE0F8C7C}"/>
    <cellStyle name="Normal 8 2 2 3 5 4" xfId="10311" xr:uid="{93410A37-C5CE-4102-B5C5-2D289AD1793F}"/>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61DD23AE-F4F0-41E5-95D4-FB00BFAE46B2}"/>
    <cellStyle name="Normal 8 2 2 3 6 2 3" xfId="12869" xr:uid="{1F139418-7499-4A31-B416-0018AEE89557}"/>
    <cellStyle name="Normal 8 2 2 3 6 3" xfId="6503" xr:uid="{00000000-0005-0000-0000-0000691C0000}"/>
    <cellStyle name="Normal 8 2 2 3 6 3 2" xfId="14942" xr:uid="{0E603DCD-5715-4F50-9622-B51194131B0D}"/>
    <cellStyle name="Normal 8 2 2 3 6 4" xfId="10724" xr:uid="{E56BD24A-71FA-421E-A0F5-17D40C0700D0}"/>
    <cellStyle name="Normal 8 2 2 3 7" xfId="2632" xr:uid="{00000000-0005-0000-0000-00006A1C0000}"/>
    <cellStyle name="Normal 8 2 2 3 7 2" xfId="6916" xr:uid="{00000000-0005-0000-0000-00006B1C0000}"/>
    <cellStyle name="Normal 8 2 2 3 7 2 2" xfId="15355" xr:uid="{6FC46AD4-E992-4438-A7F6-C6DC00D0708A}"/>
    <cellStyle name="Normal 8 2 2 3 7 3" xfId="11137" xr:uid="{14BDB802-660B-438E-AF1D-557D4452BA3C}"/>
    <cellStyle name="Normal 8 2 2 3 8" xfId="4851" xr:uid="{00000000-0005-0000-0000-00006C1C0000}"/>
    <cellStyle name="Normal 8 2 2 3 8 2" xfId="13290" xr:uid="{D0077DAF-0FDA-410F-8B6F-14F5CA3ED903}"/>
    <cellStyle name="Normal 8 2 2 3 9" xfId="9072" xr:uid="{B0700892-14A9-471E-B77E-666CA5D619E6}"/>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821BEE4D-ACBA-46B5-AA2C-7F997ADA1DBA}"/>
    <cellStyle name="Normal 8 2 2 4 2 2 3" xfId="11632" xr:uid="{5126F11B-91EF-4DF7-A3CD-227BEAB212A2}"/>
    <cellStyle name="Normal 8 2 2 4 2 3" xfId="5266" xr:uid="{00000000-0005-0000-0000-0000711C0000}"/>
    <cellStyle name="Normal 8 2 2 4 2 3 2" xfId="13705" xr:uid="{52750177-783F-4462-B736-B764FBDC724C}"/>
    <cellStyle name="Normal 8 2 2 4 2 4" xfId="9487" xr:uid="{DEC2897C-F520-4A04-8C4B-3FB1AEB69CD9}"/>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D2AA56FC-6265-4EEF-99B4-B89932393EF0}"/>
    <cellStyle name="Normal 8 2 2 4 3 2 3" xfId="12045" xr:uid="{B5C7A524-386B-4170-AFE4-C199011C0695}"/>
    <cellStyle name="Normal 8 2 2 4 3 3" xfId="5679" xr:uid="{00000000-0005-0000-0000-0000751C0000}"/>
    <cellStyle name="Normal 8 2 2 4 3 3 2" xfId="14118" xr:uid="{7DEF46A0-0A63-470D-9A57-F440CA34CC98}"/>
    <cellStyle name="Normal 8 2 2 4 3 4" xfId="9900" xr:uid="{BA52FA26-3C2F-493A-B87D-46CB6E8D403C}"/>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BDEAAB4E-F446-41F4-8D4E-BDB4531E8255}"/>
    <cellStyle name="Normal 8 2 2 4 4 2 3" xfId="12458" xr:uid="{98091716-8FED-45EF-BDF7-C338F2BB6F75}"/>
    <cellStyle name="Normal 8 2 2 4 4 3" xfId="6092" xr:uid="{00000000-0005-0000-0000-0000791C0000}"/>
    <cellStyle name="Normal 8 2 2 4 4 3 2" xfId="14531" xr:uid="{0A985C7F-C540-472A-8313-A7B250FE0227}"/>
    <cellStyle name="Normal 8 2 2 4 4 4" xfId="10313" xr:uid="{26D2848B-66BA-4495-AD33-FD390E0F8141}"/>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0BAC249B-11FD-46BF-9C74-B1430F3471D3}"/>
    <cellStyle name="Normal 8 2 2 4 5 2 3" xfId="12871" xr:uid="{BA42F768-DEE6-4D60-AEC0-1CC366E7028F}"/>
    <cellStyle name="Normal 8 2 2 4 5 3" xfId="6505" xr:uid="{00000000-0005-0000-0000-00007D1C0000}"/>
    <cellStyle name="Normal 8 2 2 4 5 3 2" xfId="14944" xr:uid="{D19B48D3-8EF8-4FE2-9816-C3759C7D9933}"/>
    <cellStyle name="Normal 8 2 2 4 5 4" xfId="10726" xr:uid="{1232A61D-3AA1-4746-B0ED-933F49470618}"/>
    <cellStyle name="Normal 8 2 2 4 6" xfId="2634" xr:uid="{00000000-0005-0000-0000-00007E1C0000}"/>
    <cellStyle name="Normal 8 2 2 4 6 2" xfId="6918" xr:uid="{00000000-0005-0000-0000-00007F1C0000}"/>
    <cellStyle name="Normal 8 2 2 4 6 2 2" xfId="15357" xr:uid="{33358CE6-EA4A-4935-BCE7-4523FA05AD88}"/>
    <cellStyle name="Normal 8 2 2 4 6 3" xfId="11139" xr:uid="{299DBC53-86A9-41A8-9EF4-59A3D24ABFFB}"/>
    <cellStyle name="Normal 8 2 2 4 7" xfId="4853" xr:uid="{00000000-0005-0000-0000-0000801C0000}"/>
    <cellStyle name="Normal 8 2 2 4 7 2" xfId="13292" xr:uid="{4A70B139-CBE2-41F1-A22F-2255F53A24BC}"/>
    <cellStyle name="Normal 8 2 2 4 8" xfId="9074" xr:uid="{A029EC1A-AA12-4958-9E32-FC8DC92DCC3B}"/>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D7000BB2-8675-47C9-BF7D-1FDDD85798A4}"/>
    <cellStyle name="Normal 8 2 2 5 2 3" xfId="11625" xr:uid="{02FCB824-3B88-4777-95ED-2075BF61D510}"/>
    <cellStyle name="Normal 8 2 2 5 3" xfId="5259" xr:uid="{00000000-0005-0000-0000-0000841C0000}"/>
    <cellStyle name="Normal 8 2 2 5 3 2" xfId="13698" xr:uid="{ADD2534D-1801-44E8-8982-B465B98AD0BB}"/>
    <cellStyle name="Normal 8 2 2 5 4" xfId="9480" xr:uid="{B434A14D-EC81-40B8-8A44-7476E74645D4}"/>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83680928-95E4-4833-AAE4-AEA7E9792455}"/>
    <cellStyle name="Normal 8 2 2 6 2 3" xfId="12038" xr:uid="{EC6299AA-14BB-4C5D-9A38-7297F54D8137}"/>
    <cellStyle name="Normal 8 2 2 6 3" xfId="5672" xr:uid="{00000000-0005-0000-0000-0000881C0000}"/>
    <cellStyle name="Normal 8 2 2 6 3 2" xfId="14111" xr:uid="{F897D20C-BAA6-4716-8811-BB5F6CB07A1D}"/>
    <cellStyle name="Normal 8 2 2 6 4" xfId="9893" xr:uid="{A6CED59C-0251-4E62-8092-B30627178C4E}"/>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E38EF684-8599-4CB5-83D4-4023AE51723D}"/>
    <cellStyle name="Normal 8 2 2 7 2 3" xfId="12451" xr:uid="{99A722AC-4A47-40D6-B347-A4DD80EC8CDE}"/>
    <cellStyle name="Normal 8 2 2 7 3" xfId="6085" xr:uid="{00000000-0005-0000-0000-00008C1C0000}"/>
    <cellStyle name="Normal 8 2 2 7 3 2" xfId="14524" xr:uid="{AE21AAB2-9594-41C6-B42C-C2430B35C117}"/>
    <cellStyle name="Normal 8 2 2 7 4" xfId="10306" xr:uid="{533A77D7-02A2-4EAC-9FB5-2C039AFCAC11}"/>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D6CE39FA-932C-4D1E-9D6A-37D53B6F1F85}"/>
    <cellStyle name="Normal 8 2 2 8 2 3" xfId="12864" xr:uid="{79CC49D9-7FB0-4636-B86B-BF048E9A9554}"/>
    <cellStyle name="Normal 8 2 2 8 3" xfId="6498" xr:uid="{00000000-0005-0000-0000-0000901C0000}"/>
    <cellStyle name="Normal 8 2 2 8 3 2" xfId="14937" xr:uid="{134626B2-EFEA-4698-BDA5-A1C94DB8303E}"/>
    <cellStyle name="Normal 8 2 2 8 4" xfId="10719" xr:uid="{AE7A8B7D-F76E-4A7C-811C-93A5EBF2BF64}"/>
    <cellStyle name="Normal 8 2 2 9" xfId="2627" xr:uid="{00000000-0005-0000-0000-0000911C0000}"/>
    <cellStyle name="Normal 8 2 2 9 2" xfId="6911" xr:uid="{00000000-0005-0000-0000-0000921C0000}"/>
    <cellStyle name="Normal 8 2 2 9 2 2" xfId="15350" xr:uid="{E81778A1-7B4D-4ACF-9326-89ED3FC02133}"/>
    <cellStyle name="Normal 8 2 2 9 3" xfId="11132" xr:uid="{AAC85B60-27FA-4986-8276-777F97912638}"/>
    <cellStyle name="Normal 8 2 3" xfId="488" xr:uid="{00000000-0005-0000-0000-0000931C0000}"/>
    <cellStyle name="Normal 8 2 3 10" xfId="9075" xr:uid="{B5345287-980E-4991-BBFD-EB48B5659315}"/>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1ED8F704-2081-4272-A125-26C7166A3DCE}"/>
    <cellStyle name="Normal 8 2 3 2 2 2 2 3" xfId="11635" xr:uid="{B593B070-9F28-4B27-8B86-174042F87F65}"/>
    <cellStyle name="Normal 8 2 3 2 2 2 3" xfId="5269" xr:uid="{00000000-0005-0000-0000-0000991C0000}"/>
    <cellStyle name="Normal 8 2 3 2 2 2 3 2" xfId="13708" xr:uid="{1696410E-3683-44A0-B599-7D1C93953117}"/>
    <cellStyle name="Normal 8 2 3 2 2 2 4" xfId="9490" xr:uid="{4D230BF6-6A70-499A-9B00-4FB685554DF9}"/>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CF78A21C-F28A-4652-B965-F7945F8B2F26}"/>
    <cellStyle name="Normal 8 2 3 2 2 3 2 3" xfId="12048" xr:uid="{5F1984E9-688C-4F09-87A6-BEE6A14311D6}"/>
    <cellStyle name="Normal 8 2 3 2 2 3 3" xfId="5682" xr:uid="{00000000-0005-0000-0000-00009D1C0000}"/>
    <cellStyle name="Normal 8 2 3 2 2 3 3 2" xfId="14121" xr:uid="{DCC68070-4A13-460B-92E6-449E72D48CCC}"/>
    <cellStyle name="Normal 8 2 3 2 2 3 4" xfId="9903" xr:uid="{1F3F4F54-2ABF-4B9B-9B6E-7FD9D0774B9C}"/>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C6285E80-5354-4740-9D47-3BD287B77781}"/>
    <cellStyle name="Normal 8 2 3 2 2 4 2 3" xfId="12461" xr:uid="{3DD7B803-CE42-47ED-9115-6816F109F7D6}"/>
    <cellStyle name="Normal 8 2 3 2 2 4 3" xfId="6095" xr:uid="{00000000-0005-0000-0000-0000A11C0000}"/>
    <cellStyle name="Normal 8 2 3 2 2 4 3 2" xfId="14534" xr:uid="{44DF5114-D012-46FB-9903-2A85A25D9B4C}"/>
    <cellStyle name="Normal 8 2 3 2 2 4 4" xfId="10316" xr:uid="{E872D960-2B8F-424D-82A4-F196A06CD244}"/>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43801E85-9A2C-4098-9F25-F0FCF7A86BAB}"/>
    <cellStyle name="Normal 8 2 3 2 2 5 2 3" xfId="12874" xr:uid="{EAEEA48D-0850-473D-954A-9E2F53A4F4D0}"/>
    <cellStyle name="Normal 8 2 3 2 2 5 3" xfId="6508" xr:uid="{00000000-0005-0000-0000-0000A51C0000}"/>
    <cellStyle name="Normal 8 2 3 2 2 5 3 2" xfId="14947" xr:uid="{B33000E5-A9B9-46AE-9977-3ECA961B4FE5}"/>
    <cellStyle name="Normal 8 2 3 2 2 5 4" xfId="10729" xr:uid="{C406988F-96E9-4675-B996-A5D7068F60D1}"/>
    <cellStyle name="Normal 8 2 3 2 2 6" xfId="2637" xr:uid="{00000000-0005-0000-0000-0000A61C0000}"/>
    <cellStyle name="Normal 8 2 3 2 2 6 2" xfId="6921" xr:uid="{00000000-0005-0000-0000-0000A71C0000}"/>
    <cellStyle name="Normal 8 2 3 2 2 6 2 2" xfId="15360" xr:uid="{C3AD4BFC-F10F-4C50-86FF-0877812CDC8D}"/>
    <cellStyle name="Normal 8 2 3 2 2 6 3" xfId="11142" xr:uid="{4D64CFD5-9B1D-4EE0-9770-776FFE736138}"/>
    <cellStyle name="Normal 8 2 3 2 2 7" xfId="4856" xr:uid="{00000000-0005-0000-0000-0000A81C0000}"/>
    <cellStyle name="Normal 8 2 3 2 2 7 2" xfId="13295" xr:uid="{1A8A4B64-0C0D-4539-BAA6-7D3D4DB58001}"/>
    <cellStyle name="Normal 8 2 3 2 2 8" xfId="9077" xr:uid="{EE7DB695-EF60-4EE0-9C20-EA701E6B0959}"/>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98DD013E-202D-4E82-A48A-6E9D06A35D54}"/>
    <cellStyle name="Normal 8 2 3 2 3 2 3" xfId="11634" xr:uid="{481BEA68-43AC-4A54-BEB1-2CFC1DCCEDFD}"/>
    <cellStyle name="Normal 8 2 3 2 3 3" xfId="5268" xr:uid="{00000000-0005-0000-0000-0000AC1C0000}"/>
    <cellStyle name="Normal 8 2 3 2 3 3 2" xfId="13707" xr:uid="{148C1E2C-E1FF-425E-AFA7-AB5B6A282805}"/>
    <cellStyle name="Normal 8 2 3 2 3 4" xfId="9489" xr:uid="{E879CB3D-0109-4CB9-B3A7-6B8FE22AD5EE}"/>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42D1D8BB-AEFA-4F58-806E-A1AE8802A198}"/>
    <cellStyle name="Normal 8 2 3 2 4 2 3" xfId="12047" xr:uid="{70000598-5497-4BF8-87B7-BF7F08D45B92}"/>
    <cellStyle name="Normal 8 2 3 2 4 3" xfId="5681" xr:uid="{00000000-0005-0000-0000-0000B01C0000}"/>
    <cellStyle name="Normal 8 2 3 2 4 3 2" xfId="14120" xr:uid="{BB617245-8A9C-4A69-BA74-283C86479BAC}"/>
    <cellStyle name="Normal 8 2 3 2 4 4" xfId="9902" xr:uid="{BFE04B1D-2BD2-4D03-AE7D-A08379329DCC}"/>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3603E671-A2A0-4447-8A82-2D4C9C0120A3}"/>
    <cellStyle name="Normal 8 2 3 2 5 2 3" xfId="12460" xr:uid="{B0DE0E73-6BF3-42F2-B040-28D7EB03BAB8}"/>
    <cellStyle name="Normal 8 2 3 2 5 3" xfId="6094" xr:uid="{00000000-0005-0000-0000-0000B41C0000}"/>
    <cellStyle name="Normal 8 2 3 2 5 3 2" xfId="14533" xr:uid="{CAC92488-26A1-4928-81DC-DB2BDD96CD07}"/>
    <cellStyle name="Normal 8 2 3 2 5 4" xfId="10315" xr:uid="{D8769BD0-F61A-46FA-8277-31B09534A85B}"/>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E141F712-E757-4293-A0B2-5A91DF1CB36A}"/>
    <cellStyle name="Normal 8 2 3 2 6 2 3" xfId="12873" xr:uid="{F1839021-46D0-4726-B25B-16BD98D00DDB}"/>
    <cellStyle name="Normal 8 2 3 2 6 3" xfId="6507" xr:uid="{00000000-0005-0000-0000-0000B81C0000}"/>
    <cellStyle name="Normal 8 2 3 2 6 3 2" xfId="14946" xr:uid="{2D4C2112-CCF5-44AE-A4C1-B37C8C61B920}"/>
    <cellStyle name="Normal 8 2 3 2 6 4" xfId="10728" xr:uid="{5251FE52-4321-41E1-8D5C-3DAAEEDCF476}"/>
    <cellStyle name="Normal 8 2 3 2 7" xfId="2636" xr:uid="{00000000-0005-0000-0000-0000B91C0000}"/>
    <cellStyle name="Normal 8 2 3 2 7 2" xfId="6920" xr:uid="{00000000-0005-0000-0000-0000BA1C0000}"/>
    <cellStyle name="Normal 8 2 3 2 7 2 2" xfId="15359" xr:uid="{E137B5DD-0CFA-4FA3-9C08-1BED30D1BBF8}"/>
    <cellStyle name="Normal 8 2 3 2 7 3" xfId="11141" xr:uid="{74E7266C-E352-4B3F-91AB-56853F2DEC62}"/>
    <cellStyle name="Normal 8 2 3 2 8" xfId="4855" xr:uid="{00000000-0005-0000-0000-0000BB1C0000}"/>
    <cellStyle name="Normal 8 2 3 2 8 2" xfId="13294" xr:uid="{E5129AC3-1933-4061-BB11-116A99E15AC2}"/>
    <cellStyle name="Normal 8 2 3 2 9" xfId="9076" xr:uid="{8E0335A6-9B88-4B2E-B671-4465068FF003}"/>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1EC3D237-954E-472F-895C-C2A9B1BD287F}"/>
    <cellStyle name="Normal 8 2 3 3 2 2 3" xfId="11636" xr:uid="{6B416B5A-602A-477F-9C9E-80B17BDD0999}"/>
    <cellStyle name="Normal 8 2 3 3 2 3" xfId="5270" xr:uid="{00000000-0005-0000-0000-0000C01C0000}"/>
    <cellStyle name="Normal 8 2 3 3 2 3 2" xfId="13709" xr:uid="{8621BEAB-049D-4343-9B34-B45400529E90}"/>
    <cellStyle name="Normal 8 2 3 3 2 4" xfId="9491" xr:uid="{10F76373-BD8E-4930-A2E8-E871CB3A7A3C}"/>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AB7643FA-2F9F-4480-A20B-211D5D900C71}"/>
    <cellStyle name="Normal 8 2 3 3 3 2 3" xfId="12049" xr:uid="{F6BD99CF-2BB9-44D4-AE08-F047F41EED41}"/>
    <cellStyle name="Normal 8 2 3 3 3 3" xfId="5683" xr:uid="{00000000-0005-0000-0000-0000C41C0000}"/>
    <cellStyle name="Normal 8 2 3 3 3 3 2" xfId="14122" xr:uid="{B3E72A9E-29C1-4E76-8714-8E9F613C62FC}"/>
    <cellStyle name="Normal 8 2 3 3 3 4" xfId="9904" xr:uid="{5329AF2A-A67C-4FAA-AFC9-F97D7FBD3019}"/>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EB5215AA-9E38-41F1-B2DF-53543A9FFFFD}"/>
    <cellStyle name="Normal 8 2 3 3 4 2 3" xfId="12462" xr:uid="{213C0E4A-EEED-47CA-900C-CCB986786768}"/>
    <cellStyle name="Normal 8 2 3 3 4 3" xfId="6096" xr:uid="{00000000-0005-0000-0000-0000C81C0000}"/>
    <cellStyle name="Normal 8 2 3 3 4 3 2" xfId="14535" xr:uid="{DD5862E5-D5FE-48A9-9D81-8D1CB625D10B}"/>
    <cellStyle name="Normal 8 2 3 3 4 4" xfId="10317" xr:uid="{F1467947-B305-4A63-B981-C359DA2AC31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450268CC-7C50-453D-A8B3-D569C2171C1D}"/>
    <cellStyle name="Normal 8 2 3 3 5 2 3" xfId="12875" xr:uid="{E4DB217F-6B16-4DBC-9451-0993BFB479B2}"/>
    <cellStyle name="Normal 8 2 3 3 5 3" xfId="6509" xr:uid="{00000000-0005-0000-0000-0000CC1C0000}"/>
    <cellStyle name="Normal 8 2 3 3 5 3 2" xfId="14948" xr:uid="{25DF280D-5169-474F-BEE9-1C54ABCECC28}"/>
    <cellStyle name="Normal 8 2 3 3 5 4" xfId="10730" xr:uid="{83D93DA5-A715-4D68-9FBC-4AE1056757F2}"/>
    <cellStyle name="Normal 8 2 3 3 6" xfId="2638" xr:uid="{00000000-0005-0000-0000-0000CD1C0000}"/>
    <cellStyle name="Normal 8 2 3 3 6 2" xfId="6922" xr:uid="{00000000-0005-0000-0000-0000CE1C0000}"/>
    <cellStyle name="Normal 8 2 3 3 6 2 2" xfId="15361" xr:uid="{4386E2AA-4413-4D15-9DAF-163707F127C8}"/>
    <cellStyle name="Normal 8 2 3 3 6 3" xfId="11143" xr:uid="{9B872501-3318-4E0A-BC9A-5D8D394FDF68}"/>
    <cellStyle name="Normal 8 2 3 3 7" xfId="4857" xr:uid="{00000000-0005-0000-0000-0000CF1C0000}"/>
    <cellStyle name="Normal 8 2 3 3 7 2" xfId="13296" xr:uid="{49D1E07A-EC18-4CA4-9AF6-50F2386F7A0D}"/>
    <cellStyle name="Normal 8 2 3 3 8" xfId="9078" xr:uid="{046C9F2A-1D3D-48F0-8597-40533F3A1EA6}"/>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6A0D4AF5-827B-44E1-8216-3758C9BEDA48}"/>
    <cellStyle name="Normal 8 2 3 4 2 3" xfId="11633" xr:uid="{C067CBD2-9DA4-4DF5-839F-55866555DB9F}"/>
    <cellStyle name="Normal 8 2 3 4 3" xfId="5267" xr:uid="{00000000-0005-0000-0000-0000D31C0000}"/>
    <cellStyle name="Normal 8 2 3 4 3 2" xfId="13706" xr:uid="{5BF5CB30-8574-4938-BA17-E27640071F66}"/>
    <cellStyle name="Normal 8 2 3 4 4" xfId="9488" xr:uid="{A840338C-0EB4-47DE-B091-B105A3ADAE8B}"/>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97F3F569-A4F1-4B00-9EEB-8FAEC4A0CACE}"/>
    <cellStyle name="Normal 8 2 3 5 2 3" xfId="12046" xr:uid="{54861573-D8DD-480A-BC3D-4A8869028244}"/>
    <cellStyle name="Normal 8 2 3 5 3" xfId="5680" xr:uid="{00000000-0005-0000-0000-0000D71C0000}"/>
    <cellStyle name="Normal 8 2 3 5 3 2" xfId="14119" xr:uid="{4956BD54-CBEF-42B7-B68A-52B8F707B0F0}"/>
    <cellStyle name="Normal 8 2 3 5 4" xfId="9901" xr:uid="{2EAAB98C-AF90-494A-AA31-F65807F00BA5}"/>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0D9D07A8-D445-42B1-A56B-0D106BAE2AB9}"/>
    <cellStyle name="Normal 8 2 3 6 2 3" xfId="12459" xr:uid="{1F549C15-3834-495D-A3CE-EAA9F62B25A7}"/>
    <cellStyle name="Normal 8 2 3 6 3" xfId="6093" xr:uid="{00000000-0005-0000-0000-0000DB1C0000}"/>
    <cellStyle name="Normal 8 2 3 6 3 2" xfId="14532" xr:uid="{B53DF050-5051-4CF8-99B1-3E04F1CF590B}"/>
    <cellStyle name="Normal 8 2 3 6 4" xfId="10314" xr:uid="{33B000E3-809E-47AC-A421-7CCEBB2571B7}"/>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3AEF40A8-F82E-406A-AB05-D74D74D6E573}"/>
    <cellStyle name="Normal 8 2 3 7 2 3" xfId="12872" xr:uid="{13C96DC7-2C8B-484C-BE76-B05546372AE4}"/>
    <cellStyle name="Normal 8 2 3 7 3" xfId="6506" xr:uid="{00000000-0005-0000-0000-0000DF1C0000}"/>
    <cellStyle name="Normal 8 2 3 7 3 2" xfId="14945" xr:uid="{1D171168-8711-4CBA-B278-F2EC0B9F054D}"/>
    <cellStyle name="Normal 8 2 3 7 4" xfId="10727" xr:uid="{27563544-35CC-4CFF-A955-4340FDDFBF1D}"/>
    <cellStyle name="Normal 8 2 3 8" xfId="2635" xr:uid="{00000000-0005-0000-0000-0000E01C0000}"/>
    <cellStyle name="Normal 8 2 3 8 2" xfId="6919" xr:uid="{00000000-0005-0000-0000-0000E11C0000}"/>
    <cellStyle name="Normal 8 2 3 8 2 2" xfId="15358" xr:uid="{8A05843B-EC74-4F15-9592-350767D1A415}"/>
    <cellStyle name="Normal 8 2 3 8 3" xfId="11140" xr:uid="{A44026D0-8D65-4A62-AB94-4FE4645AD26C}"/>
    <cellStyle name="Normal 8 2 3 9" xfId="4854" xr:uid="{00000000-0005-0000-0000-0000E21C0000}"/>
    <cellStyle name="Normal 8 2 3 9 2" xfId="13293" xr:uid="{995CA2BF-1095-4D6C-8D71-ECC834495626}"/>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1373954D-D90B-47FF-9B01-BF08250A5313}"/>
    <cellStyle name="Normal 8 2 4 2 2 2 3" xfId="11638" xr:uid="{2C314B8B-3996-4602-B7B6-03A467B8B749}"/>
    <cellStyle name="Normal 8 2 4 2 2 3" xfId="5272" xr:uid="{00000000-0005-0000-0000-0000E81C0000}"/>
    <cellStyle name="Normal 8 2 4 2 2 3 2" xfId="13711" xr:uid="{FD81B669-F77E-4F0C-8C28-FD3A6726F6AD}"/>
    <cellStyle name="Normal 8 2 4 2 2 4" xfId="9493" xr:uid="{A0CD13EA-01B9-4B46-BEA9-EB24604C5EBF}"/>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90C20885-DBC8-4E0D-8EBC-AA0698ACE17A}"/>
    <cellStyle name="Normal 8 2 4 2 3 2 3" xfId="12051" xr:uid="{998F9A33-3504-46DD-8019-8B52A7DAE713}"/>
    <cellStyle name="Normal 8 2 4 2 3 3" xfId="5685" xr:uid="{00000000-0005-0000-0000-0000EC1C0000}"/>
    <cellStyle name="Normal 8 2 4 2 3 3 2" xfId="14124" xr:uid="{67AB0673-587D-4206-B300-9A58810A1A94}"/>
    <cellStyle name="Normal 8 2 4 2 3 4" xfId="9906" xr:uid="{CA909188-A093-4034-9EEF-679100BED504}"/>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90617B62-117C-4BC2-AF31-4E0AC0D00E7D}"/>
    <cellStyle name="Normal 8 2 4 2 4 2 3" xfId="12464" xr:uid="{7162C14B-A612-4AC5-A541-6D7AD45794A8}"/>
    <cellStyle name="Normal 8 2 4 2 4 3" xfId="6098" xr:uid="{00000000-0005-0000-0000-0000F01C0000}"/>
    <cellStyle name="Normal 8 2 4 2 4 3 2" xfId="14537" xr:uid="{B4D0424C-D74D-4E26-96A3-580AE39A7F68}"/>
    <cellStyle name="Normal 8 2 4 2 4 4" xfId="10319" xr:uid="{3124A8EC-4AB1-4E6A-87DF-964B62229A1E}"/>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ACA93178-6955-49C4-8BF8-45FA5779E279}"/>
    <cellStyle name="Normal 8 2 4 2 5 2 3" xfId="12877" xr:uid="{9C9A9280-16A4-404F-B72C-42B31BF22C9A}"/>
    <cellStyle name="Normal 8 2 4 2 5 3" xfId="6511" xr:uid="{00000000-0005-0000-0000-0000F41C0000}"/>
    <cellStyle name="Normal 8 2 4 2 5 3 2" xfId="14950" xr:uid="{DF82EC1C-8932-4F34-A567-CC9B412056CD}"/>
    <cellStyle name="Normal 8 2 4 2 5 4" xfId="10732" xr:uid="{B658BAD8-28ED-4C8E-A7FA-3B119D768925}"/>
    <cellStyle name="Normal 8 2 4 2 6" xfId="2640" xr:uid="{00000000-0005-0000-0000-0000F51C0000}"/>
    <cellStyle name="Normal 8 2 4 2 6 2" xfId="6924" xr:uid="{00000000-0005-0000-0000-0000F61C0000}"/>
    <cellStyle name="Normal 8 2 4 2 6 2 2" xfId="15363" xr:uid="{F772855F-AC6F-4083-9899-8DFD0B300920}"/>
    <cellStyle name="Normal 8 2 4 2 6 3" xfId="11145" xr:uid="{F51E3D6D-D43B-4AEC-B589-FE86BFEB1300}"/>
    <cellStyle name="Normal 8 2 4 2 7" xfId="4859" xr:uid="{00000000-0005-0000-0000-0000F71C0000}"/>
    <cellStyle name="Normal 8 2 4 2 7 2" xfId="13298" xr:uid="{08268946-8635-49C6-860B-628E62DA91BC}"/>
    <cellStyle name="Normal 8 2 4 2 8" xfId="9080" xr:uid="{C34F42EA-7724-4237-BF63-6FC104F9A55E}"/>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A5B2DAFA-F41B-4E11-BBE8-177745191C7D}"/>
    <cellStyle name="Normal 8 2 4 3 2 3" xfId="11637" xr:uid="{4A22C757-7706-4BF7-9F2E-8D1EC5DEF0B3}"/>
    <cellStyle name="Normal 8 2 4 3 3" xfId="5271" xr:uid="{00000000-0005-0000-0000-0000FB1C0000}"/>
    <cellStyle name="Normal 8 2 4 3 3 2" xfId="13710" xr:uid="{C1D70AC4-5383-4B4F-8F79-301E40BBE080}"/>
    <cellStyle name="Normal 8 2 4 3 4" xfId="9492" xr:uid="{990C9A59-026A-45AA-821A-8BF48109A85A}"/>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01D2B2C1-7558-40E4-BD42-6DB8FB8AD39C}"/>
    <cellStyle name="Normal 8 2 4 4 2 3" xfId="12050" xr:uid="{3B1E429F-9F2B-4243-8E04-458FE03DDE70}"/>
    <cellStyle name="Normal 8 2 4 4 3" xfId="5684" xr:uid="{00000000-0005-0000-0000-0000FF1C0000}"/>
    <cellStyle name="Normal 8 2 4 4 3 2" xfId="14123" xr:uid="{3980F2CC-DAEF-4CE6-B0DC-71C5C0CC34B7}"/>
    <cellStyle name="Normal 8 2 4 4 4" xfId="9905" xr:uid="{7C3C853D-B887-46EE-80E1-BDD7C8FC8BF3}"/>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70150CEB-8940-4827-8AF3-BB68CB197C7A}"/>
    <cellStyle name="Normal 8 2 4 5 2 3" xfId="12463" xr:uid="{D9CD0962-3BF1-4A0F-B796-F1433F5A6952}"/>
    <cellStyle name="Normal 8 2 4 5 3" xfId="6097" xr:uid="{00000000-0005-0000-0000-0000031D0000}"/>
    <cellStyle name="Normal 8 2 4 5 3 2" xfId="14536" xr:uid="{A61A55ED-CC6B-4AD9-9682-3219078770B4}"/>
    <cellStyle name="Normal 8 2 4 5 4" xfId="10318" xr:uid="{99D25A05-7C8E-423D-9B9A-300510B50D9D}"/>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03D18D95-160C-4BDB-AF0C-149A56E3201E}"/>
    <cellStyle name="Normal 8 2 4 6 2 3" xfId="12876" xr:uid="{66C9F187-21BE-4E72-9CD3-5D7C3085AC5C}"/>
    <cellStyle name="Normal 8 2 4 6 3" xfId="6510" xr:uid="{00000000-0005-0000-0000-0000071D0000}"/>
    <cellStyle name="Normal 8 2 4 6 3 2" xfId="14949" xr:uid="{B327AB76-DC73-4DC1-82FB-DCB09B37D946}"/>
    <cellStyle name="Normal 8 2 4 6 4" xfId="10731" xr:uid="{2FF0FC53-3104-469A-BB04-A3DB66D809EA}"/>
    <cellStyle name="Normal 8 2 4 7" xfId="2639" xr:uid="{00000000-0005-0000-0000-0000081D0000}"/>
    <cellStyle name="Normal 8 2 4 7 2" xfId="6923" xr:uid="{00000000-0005-0000-0000-0000091D0000}"/>
    <cellStyle name="Normal 8 2 4 7 2 2" xfId="15362" xr:uid="{6E4828B1-DC69-428D-AF58-86E821ADAA85}"/>
    <cellStyle name="Normal 8 2 4 7 3" xfId="11144" xr:uid="{35243059-F94E-4880-97A0-D910A1724312}"/>
    <cellStyle name="Normal 8 2 4 8" xfId="4858" xr:uid="{00000000-0005-0000-0000-00000A1D0000}"/>
    <cellStyle name="Normal 8 2 4 8 2" xfId="13297" xr:uid="{CB8ED861-2B4D-44B4-9157-D5E4A607D17C}"/>
    <cellStyle name="Normal 8 2 4 9" xfId="9079" xr:uid="{2C7724B1-5074-4486-86C2-403425D1915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C667E433-2F7D-4B77-B168-9FAD76A3BDAC}"/>
    <cellStyle name="Normal 8 2 5 2 2 3" xfId="11639" xr:uid="{81FCAC5F-5C41-443A-ACE0-FE0BFF7253DC}"/>
    <cellStyle name="Normal 8 2 5 2 3" xfId="5273" xr:uid="{00000000-0005-0000-0000-00000F1D0000}"/>
    <cellStyle name="Normal 8 2 5 2 3 2" xfId="13712" xr:uid="{94737B61-E5B0-4665-AC7C-FAAFBC166368}"/>
    <cellStyle name="Normal 8 2 5 2 4" xfId="9494" xr:uid="{1A493285-67E4-46B6-9D64-9937434E6124}"/>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EC18F8D8-B76E-4183-98C0-DBCE7CF98514}"/>
    <cellStyle name="Normal 8 2 5 3 2 3" xfId="12052" xr:uid="{5DDE75A6-9DE1-4143-8AC0-4433EA422F63}"/>
    <cellStyle name="Normal 8 2 5 3 3" xfId="5686" xr:uid="{00000000-0005-0000-0000-0000131D0000}"/>
    <cellStyle name="Normal 8 2 5 3 3 2" xfId="14125" xr:uid="{4543AF25-F055-4B50-AAA9-51BF2C078A68}"/>
    <cellStyle name="Normal 8 2 5 3 4" xfId="9907" xr:uid="{FCF78B49-042B-4D3D-B284-1FA706DBECA7}"/>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75EAF413-BB15-48CA-8D00-C1308248B81F}"/>
    <cellStyle name="Normal 8 2 5 4 2 3" xfId="12465" xr:uid="{5E751200-042E-4CC3-9B4D-26DF7C3A6CB2}"/>
    <cellStyle name="Normal 8 2 5 4 3" xfId="6099" xr:uid="{00000000-0005-0000-0000-0000171D0000}"/>
    <cellStyle name="Normal 8 2 5 4 3 2" xfId="14538" xr:uid="{E8178AEC-E246-4F2F-964B-C2E30EA0BD33}"/>
    <cellStyle name="Normal 8 2 5 4 4" xfId="10320" xr:uid="{AE264AE0-D07F-428F-A332-AF218DD53B5C}"/>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A3F49D9B-9993-4406-9A31-3B891CDB90C8}"/>
    <cellStyle name="Normal 8 2 5 5 2 3" xfId="12878" xr:uid="{F9FDD4E9-7914-45C6-96C9-8D6A103D6529}"/>
    <cellStyle name="Normal 8 2 5 5 3" xfId="6512" xr:uid="{00000000-0005-0000-0000-00001B1D0000}"/>
    <cellStyle name="Normal 8 2 5 5 3 2" xfId="14951" xr:uid="{42A52973-E27D-4D30-B842-32C401BFC855}"/>
    <cellStyle name="Normal 8 2 5 5 4" xfId="10733" xr:uid="{B303C764-2AA9-40DC-8702-098D1FE457C3}"/>
    <cellStyle name="Normal 8 2 5 6" xfId="2641" xr:uid="{00000000-0005-0000-0000-00001C1D0000}"/>
    <cellStyle name="Normal 8 2 5 6 2" xfId="6925" xr:uid="{00000000-0005-0000-0000-00001D1D0000}"/>
    <cellStyle name="Normal 8 2 5 6 2 2" xfId="15364" xr:uid="{7E31EA1C-5584-4D48-9503-DEA82C684380}"/>
    <cellStyle name="Normal 8 2 5 6 3" xfId="11146" xr:uid="{C550F67F-33DE-4F52-925B-A6B58E9EFBF8}"/>
    <cellStyle name="Normal 8 2 5 7" xfId="4860" xr:uid="{00000000-0005-0000-0000-00001E1D0000}"/>
    <cellStyle name="Normal 8 2 5 7 2" xfId="13299" xr:uid="{18D72872-2FF4-44EC-8F41-BFAE698C2238}"/>
    <cellStyle name="Normal 8 2 5 8" xfId="9081" xr:uid="{030CE462-B814-4D56-B29A-FEB55E664F07}"/>
    <cellStyle name="Normal 8 2 6" xfId="946" xr:uid="{00000000-0005-0000-0000-00001F1D0000}"/>
    <cellStyle name="Normal 8 2 6 2" xfId="3180" xr:uid="{00000000-0005-0000-0000-0000201D0000}"/>
    <cellStyle name="Normal 8 2 6 2 2" xfId="7403" xr:uid="{00000000-0005-0000-0000-0000211D0000}"/>
    <cellStyle name="Normal 8 2 6 2 2 2" xfId="15842" xr:uid="{04FD1DB7-3B13-4BFE-9D67-A15E5F9BD2DF}"/>
    <cellStyle name="Normal 8 2 6 2 3" xfId="11624" xr:uid="{B2476116-DAB5-4BE3-A9BE-39A000653899}"/>
    <cellStyle name="Normal 8 2 6 3" xfId="5258" xr:uid="{00000000-0005-0000-0000-0000221D0000}"/>
    <cellStyle name="Normal 8 2 6 3 2" xfId="13697" xr:uid="{29B57A27-89C6-4610-BDB1-BE114791FE56}"/>
    <cellStyle name="Normal 8 2 6 4" xfId="9479" xr:uid="{7CA787C8-7452-48FB-BF69-9C340AB806CB}"/>
    <cellStyle name="Normal 8 2 7" xfId="1363" xr:uid="{00000000-0005-0000-0000-0000231D0000}"/>
    <cellStyle name="Normal 8 2 7 2" xfId="3593" xr:uid="{00000000-0005-0000-0000-0000241D0000}"/>
    <cellStyle name="Normal 8 2 7 2 2" xfId="7816" xr:uid="{00000000-0005-0000-0000-0000251D0000}"/>
    <cellStyle name="Normal 8 2 7 2 2 2" xfId="16255" xr:uid="{50709BFB-8772-4C16-9D9E-8FFF6D2B1515}"/>
    <cellStyle name="Normal 8 2 7 2 3" xfId="12037" xr:uid="{3570FF43-7068-4B71-9406-06C3AA75DC5B}"/>
    <cellStyle name="Normal 8 2 7 3" xfId="5671" xr:uid="{00000000-0005-0000-0000-0000261D0000}"/>
    <cellStyle name="Normal 8 2 7 3 2" xfId="14110" xr:uid="{5BF0204E-1C69-4BBE-A885-47EDE40F3B75}"/>
    <cellStyle name="Normal 8 2 7 4" xfId="9892" xr:uid="{FAFF8E9A-7332-44E9-82A3-6C7D8E24CE1F}"/>
    <cellStyle name="Normal 8 2 8" xfId="1776" xr:uid="{00000000-0005-0000-0000-0000271D0000}"/>
    <cellStyle name="Normal 8 2 8 2" xfId="4006" xr:uid="{00000000-0005-0000-0000-0000281D0000}"/>
    <cellStyle name="Normal 8 2 8 2 2" xfId="8229" xr:uid="{00000000-0005-0000-0000-0000291D0000}"/>
    <cellStyle name="Normal 8 2 8 2 2 2" xfId="16668" xr:uid="{A53683B5-F6EF-44F6-A4BB-4753419C5C40}"/>
    <cellStyle name="Normal 8 2 8 2 3" xfId="12450" xr:uid="{2B25CAFB-CD57-4F54-88BA-E3B14FB36F44}"/>
    <cellStyle name="Normal 8 2 8 3" xfId="6084" xr:uid="{00000000-0005-0000-0000-00002A1D0000}"/>
    <cellStyle name="Normal 8 2 8 3 2" xfId="14523" xr:uid="{4DD35245-80CE-4D2C-B9D8-861906747714}"/>
    <cellStyle name="Normal 8 2 8 4" xfId="10305" xr:uid="{CBD13BB7-288B-4486-90B5-24FB8501D872}"/>
    <cellStyle name="Normal 8 2 9" xfId="2190" xr:uid="{00000000-0005-0000-0000-00002B1D0000}"/>
    <cellStyle name="Normal 8 2 9 2" xfId="4419" xr:uid="{00000000-0005-0000-0000-00002C1D0000}"/>
    <cellStyle name="Normal 8 2 9 2 2" xfId="8642" xr:uid="{00000000-0005-0000-0000-00002D1D0000}"/>
    <cellStyle name="Normal 8 2 9 2 2 2" xfId="17081" xr:uid="{0634391B-1938-4286-A75D-EAE353C515A1}"/>
    <cellStyle name="Normal 8 2 9 2 3" xfId="12863" xr:uid="{D1C33900-E4C8-404A-9320-D90ED25C4B74}"/>
    <cellStyle name="Normal 8 2 9 3" xfId="6497" xr:uid="{00000000-0005-0000-0000-00002E1D0000}"/>
    <cellStyle name="Normal 8 2 9 3 2" xfId="14936" xr:uid="{97D07D7F-9ACC-449C-A50F-BE265B67F343}"/>
    <cellStyle name="Normal 8 2 9 4" xfId="10718" xr:uid="{BD11658A-F70E-4702-AE8C-B93A8E44DFB3}"/>
    <cellStyle name="Normal 8 3" xfId="495" xr:uid="{00000000-0005-0000-0000-00002F1D0000}"/>
    <cellStyle name="Normal 8 3 10" xfId="4861" xr:uid="{00000000-0005-0000-0000-0000301D0000}"/>
    <cellStyle name="Normal 8 3 10 2" xfId="13300" xr:uid="{A675ABBD-CA49-494E-83CE-3F64F988416B}"/>
    <cellStyle name="Normal 8 3 11" xfId="9082" xr:uid="{F282F063-11F0-4874-BC51-557F62D14328}"/>
    <cellStyle name="Normal 8 3 2" xfId="496" xr:uid="{00000000-0005-0000-0000-0000311D0000}"/>
    <cellStyle name="Normal 8 3 2 10" xfId="9083" xr:uid="{5B863DEA-D377-4311-B742-84757103BA95}"/>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BBDB8AEF-881E-475A-9227-5FD9CCD4C601}"/>
    <cellStyle name="Normal 8 3 2 2 2 2 2 3" xfId="11643" xr:uid="{DFF1E607-00E5-4D30-93B7-7820ACA7A3C1}"/>
    <cellStyle name="Normal 8 3 2 2 2 2 3" xfId="5277" xr:uid="{00000000-0005-0000-0000-0000371D0000}"/>
    <cellStyle name="Normal 8 3 2 2 2 2 3 2" xfId="13716" xr:uid="{9870654E-F1EA-4D89-8BC0-D417F646F8AA}"/>
    <cellStyle name="Normal 8 3 2 2 2 2 4" xfId="9498" xr:uid="{341143C3-1C3A-4B82-A4EB-A7F3E646814E}"/>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FFFCC70F-EB17-4964-B2F5-BABA59DB216E}"/>
    <cellStyle name="Normal 8 3 2 2 2 3 2 3" xfId="12056" xr:uid="{C0C1DD09-685F-48AF-8B2F-FFFAC3922043}"/>
    <cellStyle name="Normal 8 3 2 2 2 3 3" xfId="5690" xr:uid="{00000000-0005-0000-0000-00003B1D0000}"/>
    <cellStyle name="Normal 8 3 2 2 2 3 3 2" xfId="14129" xr:uid="{2A3BB9DA-1715-45C9-A5F1-D7073A358042}"/>
    <cellStyle name="Normal 8 3 2 2 2 3 4" xfId="9911" xr:uid="{11A836F1-8A43-4B96-B89C-7B7A183DEA93}"/>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6976F81A-42D0-4DF1-BBFD-9E698CE82330}"/>
    <cellStyle name="Normal 8 3 2 2 2 4 2 3" xfId="12469" xr:uid="{4A7CE2F5-3C50-40F2-B6B9-CACD470BAC07}"/>
    <cellStyle name="Normal 8 3 2 2 2 4 3" xfId="6103" xr:uid="{00000000-0005-0000-0000-00003F1D0000}"/>
    <cellStyle name="Normal 8 3 2 2 2 4 3 2" xfId="14542" xr:uid="{85233507-AF2D-452F-937F-484DA7912811}"/>
    <cellStyle name="Normal 8 3 2 2 2 4 4" xfId="10324" xr:uid="{47C8A30A-0701-4E33-A9F2-41326F8F4C91}"/>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B773D349-0DD8-46DE-AD05-112B5FD96D6A}"/>
    <cellStyle name="Normal 8 3 2 2 2 5 2 3" xfId="12882" xr:uid="{0FF78F66-F59C-445C-983D-884A6E37949E}"/>
    <cellStyle name="Normal 8 3 2 2 2 5 3" xfId="6516" xr:uid="{00000000-0005-0000-0000-0000431D0000}"/>
    <cellStyle name="Normal 8 3 2 2 2 5 3 2" xfId="14955" xr:uid="{90384B47-8BF3-4336-8D3A-9D899096C632}"/>
    <cellStyle name="Normal 8 3 2 2 2 5 4" xfId="10737" xr:uid="{8C8E1F6D-C9A4-412B-B7E1-E8C07C52999A}"/>
    <cellStyle name="Normal 8 3 2 2 2 6" xfId="2645" xr:uid="{00000000-0005-0000-0000-0000441D0000}"/>
    <cellStyle name="Normal 8 3 2 2 2 6 2" xfId="6929" xr:uid="{00000000-0005-0000-0000-0000451D0000}"/>
    <cellStyle name="Normal 8 3 2 2 2 6 2 2" xfId="15368" xr:uid="{8A2F7B79-8536-41C5-BEAE-1DE1649D8494}"/>
    <cellStyle name="Normal 8 3 2 2 2 6 3" xfId="11150" xr:uid="{431A9F74-F2F2-4F9C-A88A-1CE270EA4418}"/>
    <cellStyle name="Normal 8 3 2 2 2 7" xfId="4864" xr:uid="{00000000-0005-0000-0000-0000461D0000}"/>
    <cellStyle name="Normal 8 3 2 2 2 7 2" xfId="13303" xr:uid="{23C34E0F-E6E3-4D47-96C2-BC6AC0F95C00}"/>
    <cellStyle name="Normal 8 3 2 2 2 8" xfId="9085" xr:uid="{08850816-7872-4ABE-BBA3-93A6C79083DE}"/>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EDD295A3-0FDA-408B-BB9C-ADFAB86F014B}"/>
    <cellStyle name="Normal 8 3 2 2 3 2 3" xfId="11642" xr:uid="{DC2E8839-F6C5-4225-86FA-33D73DC4033F}"/>
    <cellStyle name="Normal 8 3 2 2 3 3" xfId="5276" xr:uid="{00000000-0005-0000-0000-00004A1D0000}"/>
    <cellStyle name="Normal 8 3 2 2 3 3 2" xfId="13715" xr:uid="{1ECD4838-3BD4-4314-8095-37EF08FF2B52}"/>
    <cellStyle name="Normal 8 3 2 2 3 4" xfId="9497" xr:uid="{E3731D78-7690-468C-9121-BBAC4A3DA7FC}"/>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5857653C-85C2-48A0-AFDC-F0490ED81269}"/>
    <cellStyle name="Normal 8 3 2 2 4 2 3" xfId="12055" xr:uid="{457884FE-2B71-4778-9D58-83EF53F034BB}"/>
    <cellStyle name="Normal 8 3 2 2 4 3" xfId="5689" xr:uid="{00000000-0005-0000-0000-00004E1D0000}"/>
    <cellStyle name="Normal 8 3 2 2 4 3 2" xfId="14128" xr:uid="{3B7DD1C9-D72B-4F61-A7E9-D1804637F373}"/>
    <cellStyle name="Normal 8 3 2 2 4 4" xfId="9910" xr:uid="{3D24555C-75E5-4963-AEE8-874001665B8B}"/>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CCD45FBE-B4A8-42D4-A987-98ECF1ECD8DD}"/>
    <cellStyle name="Normal 8 3 2 2 5 2 3" xfId="12468" xr:uid="{A6791D3A-69F6-44E3-8B87-AAC0CA79914A}"/>
    <cellStyle name="Normal 8 3 2 2 5 3" xfId="6102" xr:uid="{00000000-0005-0000-0000-0000521D0000}"/>
    <cellStyle name="Normal 8 3 2 2 5 3 2" xfId="14541" xr:uid="{E27DAE1A-54AF-4151-9CFC-73CD6F624795}"/>
    <cellStyle name="Normal 8 3 2 2 5 4" xfId="10323" xr:uid="{730D0C64-B72B-480E-86F3-B9ABBDEE9873}"/>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9CDE3147-5093-4577-BFDB-6B0587A8446A}"/>
    <cellStyle name="Normal 8 3 2 2 6 2 3" xfId="12881" xr:uid="{BE013F0A-82BA-4F71-9D6F-46373736AA01}"/>
    <cellStyle name="Normal 8 3 2 2 6 3" xfId="6515" xr:uid="{00000000-0005-0000-0000-0000561D0000}"/>
    <cellStyle name="Normal 8 3 2 2 6 3 2" xfId="14954" xr:uid="{8F14B211-7C87-4917-BBD9-59FCE987900A}"/>
    <cellStyle name="Normal 8 3 2 2 6 4" xfId="10736" xr:uid="{382D686B-16EC-4E19-8745-924286D7A005}"/>
    <cellStyle name="Normal 8 3 2 2 7" xfId="2644" xr:uid="{00000000-0005-0000-0000-0000571D0000}"/>
    <cellStyle name="Normal 8 3 2 2 7 2" xfId="6928" xr:uid="{00000000-0005-0000-0000-0000581D0000}"/>
    <cellStyle name="Normal 8 3 2 2 7 2 2" xfId="15367" xr:uid="{004C73F0-9284-4AB5-BFE7-816C6BD0EF3D}"/>
    <cellStyle name="Normal 8 3 2 2 7 3" xfId="11149" xr:uid="{BEF6F39C-570B-4960-8709-6D73D49212DE}"/>
    <cellStyle name="Normal 8 3 2 2 8" xfId="4863" xr:uid="{00000000-0005-0000-0000-0000591D0000}"/>
    <cellStyle name="Normal 8 3 2 2 8 2" xfId="13302" xr:uid="{7F4F5963-D504-4D33-8583-BC90B600AEF1}"/>
    <cellStyle name="Normal 8 3 2 2 9" xfId="9084" xr:uid="{CCE292C5-61EE-41BD-86F5-5B2936067F4D}"/>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AB0D8157-D824-488A-A227-82B6CEA59033}"/>
    <cellStyle name="Normal 8 3 2 3 2 2 3" xfId="11644" xr:uid="{895EE7B8-815B-4764-B552-8BA4E563C4A7}"/>
    <cellStyle name="Normal 8 3 2 3 2 3" xfId="5278" xr:uid="{00000000-0005-0000-0000-00005E1D0000}"/>
    <cellStyle name="Normal 8 3 2 3 2 3 2" xfId="13717" xr:uid="{B91BACF7-FFD8-468F-B669-4CE098D391B1}"/>
    <cellStyle name="Normal 8 3 2 3 2 4" xfId="9499" xr:uid="{8CD13D81-CFF3-4AF0-8A10-4B57DB0789CD}"/>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375AB836-F03A-4FD4-8F0A-556B2AFDCE4B}"/>
    <cellStyle name="Normal 8 3 2 3 3 2 3" xfId="12057" xr:uid="{23C4E25E-BEC4-472E-8228-2A3FD5086AE3}"/>
    <cellStyle name="Normal 8 3 2 3 3 3" xfId="5691" xr:uid="{00000000-0005-0000-0000-0000621D0000}"/>
    <cellStyle name="Normal 8 3 2 3 3 3 2" xfId="14130" xr:uid="{21A40BED-1AD3-4230-B12C-563349B34F8B}"/>
    <cellStyle name="Normal 8 3 2 3 3 4" xfId="9912" xr:uid="{9240848F-79B2-47FA-8471-4E8EE7363211}"/>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4B7594C7-10F4-4368-8344-C239B1584F32}"/>
    <cellStyle name="Normal 8 3 2 3 4 2 3" xfId="12470" xr:uid="{A26D339D-95A4-4B08-9EDC-ED71E811ECDE}"/>
    <cellStyle name="Normal 8 3 2 3 4 3" xfId="6104" xr:uid="{00000000-0005-0000-0000-0000661D0000}"/>
    <cellStyle name="Normal 8 3 2 3 4 3 2" xfId="14543" xr:uid="{83C4AC50-5B61-447D-AF7D-AF6EB3275F29}"/>
    <cellStyle name="Normal 8 3 2 3 4 4" xfId="10325" xr:uid="{2E49516F-64FD-4ECF-827E-E38CFFDCD9E9}"/>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24760F56-AD78-4265-8453-9065660794BC}"/>
    <cellStyle name="Normal 8 3 2 3 5 2 3" xfId="12883" xr:uid="{B0B8B53F-1F95-4740-944A-8ADDEF8207F3}"/>
    <cellStyle name="Normal 8 3 2 3 5 3" xfId="6517" xr:uid="{00000000-0005-0000-0000-00006A1D0000}"/>
    <cellStyle name="Normal 8 3 2 3 5 3 2" xfId="14956" xr:uid="{432BBA04-71E7-48A6-8D30-CB49743ED809}"/>
    <cellStyle name="Normal 8 3 2 3 5 4" xfId="10738" xr:uid="{ECE240A4-C627-49A2-B474-B81103B9A5E5}"/>
    <cellStyle name="Normal 8 3 2 3 6" xfId="2646" xr:uid="{00000000-0005-0000-0000-00006B1D0000}"/>
    <cellStyle name="Normal 8 3 2 3 6 2" xfId="6930" xr:uid="{00000000-0005-0000-0000-00006C1D0000}"/>
    <cellStyle name="Normal 8 3 2 3 6 2 2" xfId="15369" xr:uid="{976F5091-9231-4F80-834D-693EBBA13F68}"/>
    <cellStyle name="Normal 8 3 2 3 6 3" xfId="11151" xr:uid="{9352AB9D-8D5D-4390-9521-368710312A7B}"/>
    <cellStyle name="Normal 8 3 2 3 7" xfId="4865" xr:uid="{00000000-0005-0000-0000-00006D1D0000}"/>
    <cellStyle name="Normal 8 3 2 3 7 2" xfId="13304" xr:uid="{5AF0A6D3-94B0-47D1-B696-ABDA4E210CB1}"/>
    <cellStyle name="Normal 8 3 2 3 8" xfId="9086" xr:uid="{DAF9ADB1-6631-4883-98F9-EBFF71692F7E}"/>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05BC8A85-CCF5-428A-AD47-5D3DE2264DAA}"/>
    <cellStyle name="Normal 8 3 2 4 2 3" xfId="11641" xr:uid="{FD94DAB6-8A61-4420-AF45-5277A5E7FC20}"/>
    <cellStyle name="Normal 8 3 2 4 3" xfId="5275" xr:uid="{00000000-0005-0000-0000-0000711D0000}"/>
    <cellStyle name="Normal 8 3 2 4 3 2" xfId="13714" xr:uid="{EC9A321B-1DEE-4A4B-90F5-296610357A30}"/>
    <cellStyle name="Normal 8 3 2 4 4" xfId="9496" xr:uid="{A7FC9FE6-77B4-488E-A5E5-8121DCCBD61D}"/>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42D8AD2D-6BED-48FF-92AA-F6A9D5F62437}"/>
    <cellStyle name="Normal 8 3 2 5 2 3" xfId="12054" xr:uid="{D78E0D0B-F2A1-4D39-9199-91C7D06BC01D}"/>
    <cellStyle name="Normal 8 3 2 5 3" xfId="5688" xr:uid="{00000000-0005-0000-0000-0000751D0000}"/>
    <cellStyle name="Normal 8 3 2 5 3 2" xfId="14127" xr:uid="{ABD2E4BF-0543-4625-A390-8CDE8E5EE573}"/>
    <cellStyle name="Normal 8 3 2 5 4" xfId="9909" xr:uid="{C2229CEC-2090-45DE-98BF-500184035237}"/>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15C8E213-AF9F-493C-B081-8D161C2FCD2C}"/>
    <cellStyle name="Normal 8 3 2 6 2 3" xfId="12467" xr:uid="{1D2D4A05-D5AC-45C2-B1C0-F38A1DD75B31}"/>
    <cellStyle name="Normal 8 3 2 6 3" xfId="6101" xr:uid="{00000000-0005-0000-0000-0000791D0000}"/>
    <cellStyle name="Normal 8 3 2 6 3 2" xfId="14540" xr:uid="{4D556AC4-FF34-40B2-9237-821223DA9D1E}"/>
    <cellStyle name="Normal 8 3 2 6 4" xfId="10322" xr:uid="{1C71681B-2CC0-48BB-888A-4274113F5F03}"/>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9106C5C3-2329-4379-9FAF-34E0371D5657}"/>
    <cellStyle name="Normal 8 3 2 7 2 3" xfId="12880" xr:uid="{95E99DF9-F0A0-4F23-B927-837F669B5506}"/>
    <cellStyle name="Normal 8 3 2 7 3" xfId="6514" xr:uid="{00000000-0005-0000-0000-00007D1D0000}"/>
    <cellStyle name="Normal 8 3 2 7 3 2" xfId="14953" xr:uid="{1664D90A-3C14-4A97-AF23-993C1C889384}"/>
    <cellStyle name="Normal 8 3 2 7 4" xfId="10735" xr:uid="{1F2FCEC3-129B-4853-AAE6-351BC7982E93}"/>
    <cellStyle name="Normal 8 3 2 8" xfId="2643" xr:uid="{00000000-0005-0000-0000-00007E1D0000}"/>
    <cellStyle name="Normal 8 3 2 8 2" xfId="6927" xr:uid="{00000000-0005-0000-0000-00007F1D0000}"/>
    <cellStyle name="Normal 8 3 2 8 2 2" xfId="15366" xr:uid="{7AA61FAF-69CD-4474-9DA1-72910D270981}"/>
    <cellStyle name="Normal 8 3 2 8 3" xfId="11148" xr:uid="{C799985D-10AD-402C-A121-B0DB7C708A58}"/>
    <cellStyle name="Normal 8 3 2 9" xfId="4862" xr:uid="{00000000-0005-0000-0000-0000801D0000}"/>
    <cellStyle name="Normal 8 3 2 9 2" xfId="13301" xr:uid="{010EC5B8-8161-45FC-A0AB-57254E3D5007}"/>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4E11C1D9-F51C-40E5-A604-724B9AED7EB1}"/>
    <cellStyle name="Normal 8 3 3 2 2 2 3" xfId="11646" xr:uid="{704B0F5F-BB73-4B49-9401-8BB4A628E6B4}"/>
    <cellStyle name="Normal 8 3 3 2 2 3" xfId="5280" xr:uid="{00000000-0005-0000-0000-0000861D0000}"/>
    <cellStyle name="Normal 8 3 3 2 2 3 2" xfId="13719" xr:uid="{31FEA756-B619-4F80-B824-7614CA51BB89}"/>
    <cellStyle name="Normal 8 3 3 2 2 4" xfId="9501" xr:uid="{FAAFA7F4-135B-475D-894F-FB36E37CA88C}"/>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1C9EC7DA-2F4B-456D-9A9A-8AA3CE32D857}"/>
    <cellStyle name="Normal 8 3 3 2 3 2 3" xfId="12059" xr:uid="{6DDA4D1E-C99B-4838-A304-C518001F12D7}"/>
    <cellStyle name="Normal 8 3 3 2 3 3" xfId="5693" xr:uid="{00000000-0005-0000-0000-00008A1D0000}"/>
    <cellStyle name="Normal 8 3 3 2 3 3 2" xfId="14132" xr:uid="{CF6F2052-00D6-4202-8772-0DF65E62614F}"/>
    <cellStyle name="Normal 8 3 3 2 3 4" xfId="9914" xr:uid="{256A1755-AAB0-4B74-BE22-41875030D5DC}"/>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162929C8-7F43-47BD-9DCA-A2CAD6E9C2E3}"/>
    <cellStyle name="Normal 8 3 3 2 4 2 3" xfId="12472" xr:uid="{9E315FB3-2967-413D-B55C-EC5DEF0E9145}"/>
    <cellStyle name="Normal 8 3 3 2 4 3" xfId="6106" xr:uid="{00000000-0005-0000-0000-00008E1D0000}"/>
    <cellStyle name="Normal 8 3 3 2 4 3 2" xfId="14545" xr:uid="{EBA7144E-8941-4449-91B3-65899254324B}"/>
    <cellStyle name="Normal 8 3 3 2 4 4" xfId="10327" xr:uid="{14D40D6C-C7FB-4456-B96B-D0A27E93E779}"/>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E102E863-05A0-4B54-8CC9-35CC276F826C}"/>
    <cellStyle name="Normal 8 3 3 2 5 2 3" xfId="12885" xr:uid="{AB945612-5F2E-4EC5-A987-8394892B3064}"/>
    <cellStyle name="Normal 8 3 3 2 5 3" xfId="6519" xr:uid="{00000000-0005-0000-0000-0000921D0000}"/>
    <cellStyle name="Normal 8 3 3 2 5 3 2" xfId="14958" xr:uid="{6CC5B16E-325A-4C06-881E-0764600096A4}"/>
    <cellStyle name="Normal 8 3 3 2 5 4" xfId="10740" xr:uid="{A271E06B-4D2B-4296-8407-CDBCDDA094AB}"/>
    <cellStyle name="Normal 8 3 3 2 6" xfId="2648" xr:uid="{00000000-0005-0000-0000-0000931D0000}"/>
    <cellStyle name="Normal 8 3 3 2 6 2" xfId="6932" xr:uid="{00000000-0005-0000-0000-0000941D0000}"/>
    <cellStyle name="Normal 8 3 3 2 6 2 2" xfId="15371" xr:uid="{A349C5FA-D992-4672-A1BA-8FC3118A8E80}"/>
    <cellStyle name="Normal 8 3 3 2 6 3" xfId="11153" xr:uid="{A383FCFB-FAFB-4905-B55B-9DF578DB9B1D}"/>
    <cellStyle name="Normal 8 3 3 2 7" xfId="4867" xr:uid="{00000000-0005-0000-0000-0000951D0000}"/>
    <cellStyle name="Normal 8 3 3 2 7 2" xfId="13306" xr:uid="{C78BF364-4988-45C0-9A3F-4C2F1C856FC9}"/>
    <cellStyle name="Normal 8 3 3 2 8" xfId="9088" xr:uid="{37DA3A44-5AAD-4A92-8565-615F91000FB2}"/>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C3379EB2-836B-4C0C-98A6-30616522D531}"/>
    <cellStyle name="Normal 8 3 3 3 2 3" xfId="11645" xr:uid="{CC3F739A-0F8B-4C8B-9077-75A23E6FB341}"/>
    <cellStyle name="Normal 8 3 3 3 3" xfId="5279" xr:uid="{00000000-0005-0000-0000-0000991D0000}"/>
    <cellStyle name="Normal 8 3 3 3 3 2" xfId="13718" xr:uid="{E9F7DF5A-142F-4481-9C63-273A6F187118}"/>
    <cellStyle name="Normal 8 3 3 3 4" xfId="9500" xr:uid="{24402612-B8EF-4A2F-8D8D-B2F5C8583FB2}"/>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564DFE13-01F4-418A-ACF4-EBEC8A71208E}"/>
    <cellStyle name="Normal 8 3 3 4 2 3" xfId="12058" xr:uid="{E9CBFC30-F97B-49B6-8536-7F393492F117}"/>
    <cellStyle name="Normal 8 3 3 4 3" xfId="5692" xr:uid="{00000000-0005-0000-0000-00009D1D0000}"/>
    <cellStyle name="Normal 8 3 3 4 3 2" xfId="14131" xr:uid="{59EE982D-0C68-43ED-9F46-D6A8817CDFE9}"/>
    <cellStyle name="Normal 8 3 3 4 4" xfId="9913" xr:uid="{5905904A-6A34-4E25-9850-45DD12FE161E}"/>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FD49E3D4-B4D4-4ED9-AABC-97E8EB01459B}"/>
    <cellStyle name="Normal 8 3 3 5 2 3" xfId="12471" xr:uid="{00520186-3726-4F38-A2D6-64226277E082}"/>
    <cellStyle name="Normal 8 3 3 5 3" xfId="6105" xr:uid="{00000000-0005-0000-0000-0000A11D0000}"/>
    <cellStyle name="Normal 8 3 3 5 3 2" xfId="14544" xr:uid="{5BE784EE-3961-4ED9-82A4-911B729DBED6}"/>
    <cellStyle name="Normal 8 3 3 5 4" xfId="10326" xr:uid="{4C253677-DFC6-4447-81E0-A8754471AEAE}"/>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010D516F-4793-40B3-B3E6-2E398F4354FA}"/>
    <cellStyle name="Normal 8 3 3 6 2 3" xfId="12884" xr:uid="{8F79FD00-1467-4EB5-8DF9-B1B2BD2C46DA}"/>
    <cellStyle name="Normal 8 3 3 6 3" xfId="6518" xr:uid="{00000000-0005-0000-0000-0000A51D0000}"/>
    <cellStyle name="Normal 8 3 3 6 3 2" xfId="14957" xr:uid="{16D079A3-CC27-427E-9D60-66C3116DD474}"/>
    <cellStyle name="Normal 8 3 3 6 4" xfId="10739" xr:uid="{BC8943E9-2980-4B27-9F16-92C4E9969CAE}"/>
    <cellStyle name="Normal 8 3 3 7" xfId="2647" xr:uid="{00000000-0005-0000-0000-0000A61D0000}"/>
    <cellStyle name="Normal 8 3 3 7 2" xfId="6931" xr:uid="{00000000-0005-0000-0000-0000A71D0000}"/>
    <cellStyle name="Normal 8 3 3 7 2 2" xfId="15370" xr:uid="{62D79893-4773-4B5E-B56E-4EBCAEFEDDEF}"/>
    <cellStyle name="Normal 8 3 3 7 3" xfId="11152" xr:uid="{068A8766-C5FA-454F-AFFD-7CD1D76A1E65}"/>
    <cellStyle name="Normal 8 3 3 8" xfId="4866" xr:uid="{00000000-0005-0000-0000-0000A81D0000}"/>
    <cellStyle name="Normal 8 3 3 8 2" xfId="13305" xr:uid="{FBE885D0-2E95-4A7B-B27E-3D518CDE51FA}"/>
    <cellStyle name="Normal 8 3 3 9" xfId="9087" xr:uid="{92A9D88E-8D37-4A02-827E-C24A321380B9}"/>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2AF97E54-DEEC-4532-A0EC-CAA21D8378BC}"/>
    <cellStyle name="Normal 8 3 4 2 2 3" xfId="11647" xr:uid="{732957AB-DD47-4EAC-A1AA-56ACE658ED2D}"/>
    <cellStyle name="Normal 8 3 4 2 3" xfId="5281" xr:uid="{00000000-0005-0000-0000-0000AD1D0000}"/>
    <cellStyle name="Normal 8 3 4 2 3 2" xfId="13720" xr:uid="{5D716CA3-BA1F-40F6-A2B7-132E628C993E}"/>
    <cellStyle name="Normal 8 3 4 2 4" xfId="9502" xr:uid="{393994A1-4CF9-4719-B7EF-9C8C59C79836}"/>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9812A1C7-0D78-4C48-9945-45780AD500C7}"/>
    <cellStyle name="Normal 8 3 4 3 2 3" xfId="12060" xr:uid="{A28DD783-BD56-43C5-8DAA-C9060D85C2E6}"/>
    <cellStyle name="Normal 8 3 4 3 3" xfId="5694" xr:uid="{00000000-0005-0000-0000-0000B11D0000}"/>
    <cellStyle name="Normal 8 3 4 3 3 2" xfId="14133" xr:uid="{3B424EBD-86EB-4ECB-847A-491D51F21F3A}"/>
    <cellStyle name="Normal 8 3 4 3 4" xfId="9915" xr:uid="{3295E3A9-3F28-4292-8717-5B3E3382E334}"/>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1AF2008F-BC35-496E-B8CF-EF1B524539A9}"/>
    <cellStyle name="Normal 8 3 4 4 2 3" xfId="12473" xr:uid="{7C2B76C8-3679-49BA-90A2-6514D4DA07DA}"/>
    <cellStyle name="Normal 8 3 4 4 3" xfId="6107" xr:uid="{00000000-0005-0000-0000-0000B51D0000}"/>
    <cellStyle name="Normal 8 3 4 4 3 2" xfId="14546" xr:uid="{8E6BE1ED-1239-4108-A6BE-B633270724F5}"/>
    <cellStyle name="Normal 8 3 4 4 4" xfId="10328" xr:uid="{7773925D-4608-4008-9CE1-EE16F344A7B9}"/>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F2E5BD67-AD48-440E-9BA0-3E2FE875FC41}"/>
    <cellStyle name="Normal 8 3 4 5 2 3" xfId="12886" xr:uid="{E651EABF-316B-42A2-B9FE-E226298F6F71}"/>
    <cellStyle name="Normal 8 3 4 5 3" xfId="6520" xr:uid="{00000000-0005-0000-0000-0000B91D0000}"/>
    <cellStyle name="Normal 8 3 4 5 3 2" xfId="14959" xr:uid="{D3357417-6506-4A6B-9E53-551DEA4402D6}"/>
    <cellStyle name="Normal 8 3 4 5 4" xfId="10741" xr:uid="{DCF616D7-0EFE-4EDB-85BF-A9CC8E2EABC0}"/>
    <cellStyle name="Normal 8 3 4 6" xfId="2649" xr:uid="{00000000-0005-0000-0000-0000BA1D0000}"/>
    <cellStyle name="Normal 8 3 4 6 2" xfId="6933" xr:uid="{00000000-0005-0000-0000-0000BB1D0000}"/>
    <cellStyle name="Normal 8 3 4 6 2 2" xfId="15372" xr:uid="{B6307673-A42C-4944-B225-C44A34245F7A}"/>
    <cellStyle name="Normal 8 3 4 6 3" xfId="11154" xr:uid="{4021B2A5-59F0-456B-ABD8-8E1C4C076688}"/>
    <cellStyle name="Normal 8 3 4 7" xfId="4868" xr:uid="{00000000-0005-0000-0000-0000BC1D0000}"/>
    <cellStyle name="Normal 8 3 4 7 2" xfId="13307" xr:uid="{D39C63A0-8CE0-49C0-ABF0-A53B919CE63B}"/>
    <cellStyle name="Normal 8 3 4 8" xfId="9089" xr:uid="{5541B688-90F7-4C18-802C-94014918AE2A}"/>
    <cellStyle name="Normal 8 3 5" xfId="962" xr:uid="{00000000-0005-0000-0000-0000BD1D0000}"/>
    <cellStyle name="Normal 8 3 5 2" xfId="3196" xr:uid="{00000000-0005-0000-0000-0000BE1D0000}"/>
    <cellStyle name="Normal 8 3 5 2 2" xfId="7419" xr:uid="{00000000-0005-0000-0000-0000BF1D0000}"/>
    <cellStyle name="Normal 8 3 5 2 2 2" xfId="15858" xr:uid="{5D959B9A-B8D7-4F13-A2D4-8DE52713E618}"/>
    <cellStyle name="Normal 8 3 5 2 3" xfId="11640" xr:uid="{A5ABEEC6-E481-44FB-BBA7-11EBC383356F}"/>
    <cellStyle name="Normal 8 3 5 3" xfId="5274" xr:uid="{00000000-0005-0000-0000-0000C01D0000}"/>
    <cellStyle name="Normal 8 3 5 3 2" xfId="13713" xr:uid="{4DCFE76E-AB24-4D7A-A0AD-755A7F46EA15}"/>
    <cellStyle name="Normal 8 3 5 4" xfId="9495" xr:uid="{177E0A48-14EA-458E-9B63-4BDAA61F8581}"/>
    <cellStyle name="Normal 8 3 6" xfId="1379" xr:uid="{00000000-0005-0000-0000-0000C11D0000}"/>
    <cellStyle name="Normal 8 3 6 2" xfId="3609" xr:uid="{00000000-0005-0000-0000-0000C21D0000}"/>
    <cellStyle name="Normal 8 3 6 2 2" xfId="7832" xr:uid="{00000000-0005-0000-0000-0000C31D0000}"/>
    <cellStyle name="Normal 8 3 6 2 2 2" xfId="16271" xr:uid="{C5B6C1B6-6BCB-4251-9EA7-8B67EACE9ADA}"/>
    <cellStyle name="Normal 8 3 6 2 3" xfId="12053" xr:uid="{266235C1-3CB7-4FA4-BAAF-47F72DAAEEA1}"/>
    <cellStyle name="Normal 8 3 6 3" xfId="5687" xr:uid="{00000000-0005-0000-0000-0000C41D0000}"/>
    <cellStyle name="Normal 8 3 6 3 2" xfId="14126" xr:uid="{BBA143AB-BBBB-47A5-8B8C-3BBE43F4A966}"/>
    <cellStyle name="Normal 8 3 6 4" xfId="9908" xr:uid="{72F95FF5-5D06-4520-9AD4-6ED8A54B05A7}"/>
    <cellStyle name="Normal 8 3 7" xfId="1792" xr:uid="{00000000-0005-0000-0000-0000C51D0000}"/>
    <cellStyle name="Normal 8 3 7 2" xfId="4022" xr:uid="{00000000-0005-0000-0000-0000C61D0000}"/>
    <cellStyle name="Normal 8 3 7 2 2" xfId="8245" xr:uid="{00000000-0005-0000-0000-0000C71D0000}"/>
    <cellStyle name="Normal 8 3 7 2 2 2" xfId="16684" xr:uid="{9C3D6AD6-54D1-4DF5-A957-3063BDFAD581}"/>
    <cellStyle name="Normal 8 3 7 2 3" xfId="12466" xr:uid="{EB5CE364-4F88-434E-9C5E-C012CC44C8AF}"/>
    <cellStyle name="Normal 8 3 7 3" xfId="6100" xr:uid="{00000000-0005-0000-0000-0000C81D0000}"/>
    <cellStyle name="Normal 8 3 7 3 2" xfId="14539" xr:uid="{BB626E26-B233-425F-A737-C41356570FF0}"/>
    <cellStyle name="Normal 8 3 7 4" xfId="10321" xr:uid="{673459F1-CDB7-4FEC-A53E-B09040ECFA74}"/>
    <cellStyle name="Normal 8 3 8" xfId="2206" xr:uid="{00000000-0005-0000-0000-0000C91D0000}"/>
    <cellStyle name="Normal 8 3 8 2" xfId="4435" xr:uid="{00000000-0005-0000-0000-0000CA1D0000}"/>
    <cellStyle name="Normal 8 3 8 2 2" xfId="8658" xr:uid="{00000000-0005-0000-0000-0000CB1D0000}"/>
    <cellStyle name="Normal 8 3 8 2 2 2" xfId="17097" xr:uid="{ADD17603-D51A-4CF9-ABC2-E18851A0DF10}"/>
    <cellStyle name="Normal 8 3 8 2 3" xfId="12879" xr:uid="{42572178-8888-4A1C-BC97-785787D9AA41}"/>
    <cellStyle name="Normal 8 3 8 3" xfId="6513" xr:uid="{00000000-0005-0000-0000-0000CC1D0000}"/>
    <cellStyle name="Normal 8 3 8 3 2" xfId="14952" xr:uid="{FD164B28-9CF6-4A41-81A8-7314FBDC3EC7}"/>
    <cellStyle name="Normal 8 3 8 4" xfId="10734" xr:uid="{6F1E6E92-BB0A-4D38-8668-2B2328DBA538}"/>
    <cellStyle name="Normal 8 3 9" xfId="2642" xr:uid="{00000000-0005-0000-0000-0000CD1D0000}"/>
    <cellStyle name="Normal 8 3 9 2" xfId="6926" xr:uid="{00000000-0005-0000-0000-0000CE1D0000}"/>
    <cellStyle name="Normal 8 3 9 2 2" xfId="15365" xr:uid="{C32F8553-0576-4EFF-9C36-364B7D32BBF4}"/>
    <cellStyle name="Normal 8 3 9 3" xfId="11147" xr:uid="{F9D7CA04-6864-40C7-8932-6DBACD65DCF3}"/>
    <cellStyle name="Normal 8 4" xfId="503" xr:uid="{00000000-0005-0000-0000-0000CF1D0000}"/>
    <cellStyle name="Normal 8 4 10" xfId="9090" xr:uid="{DB568A8E-D3AB-4307-8DDE-2B212E6F7FDE}"/>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478CD927-0D43-4EF8-B32B-7408CF6F397E}"/>
    <cellStyle name="Normal 8 4 2 2 2 2 3" xfId="11650" xr:uid="{CFBD45E4-FABC-46B2-844B-5432F98193BC}"/>
    <cellStyle name="Normal 8 4 2 2 2 3" xfId="5284" xr:uid="{00000000-0005-0000-0000-0000D51D0000}"/>
    <cellStyle name="Normal 8 4 2 2 2 3 2" xfId="13723" xr:uid="{4D6093A7-E408-44BB-9FED-DCB2F4AA5369}"/>
    <cellStyle name="Normal 8 4 2 2 2 4" xfId="9505" xr:uid="{07123C39-78E2-40DA-A763-97D0ECC89823}"/>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BF9F12AD-F146-4716-84F5-44C06C6551F6}"/>
    <cellStyle name="Normal 8 4 2 2 3 2 3" xfId="12063" xr:uid="{ADA9F3F1-6913-4958-8E5D-718A097A8122}"/>
    <cellStyle name="Normal 8 4 2 2 3 3" xfId="5697" xr:uid="{00000000-0005-0000-0000-0000D91D0000}"/>
    <cellStyle name="Normal 8 4 2 2 3 3 2" xfId="14136" xr:uid="{3BE641EB-C43A-4787-87CB-1C30A1422759}"/>
    <cellStyle name="Normal 8 4 2 2 3 4" xfId="9918" xr:uid="{6F0B25B2-4AFF-4C0E-8E44-649133B09A21}"/>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5E600D4B-999C-4A79-A2FF-28D99EAABD3E}"/>
    <cellStyle name="Normal 8 4 2 2 4 2 3" xfId="12476" xr:uid="{86DF3E2D-4112-455A-AFD8-A02C53FBE125}"/>
    <cellStyle name="Normal 8 4 2 2 4 3" xfId="6110" xr:uid="{00000000-0005-0000-0000-0000DD1D0000}"/>
    <cellStyle name="Normal 8 4 2 2 4 3 2" xfId="14549" xr:uid="{ADDBF81D-D9C1-4884-92BA-31AB04238866}"/>
    <cellStyle name="Normal 8 4 2 2 4 4" xfId="10331" xr:uid="{3663B7BE-EF7A-4964-ABB5-BD714FC78660}"/>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6268F5AC-EAFF-4EF7-A80D-BA75A846A7B2}"/>
    <cellStyle name="Normal 8 4 2 2 5 2 3" xfId="12889" xr:uid="{2A3F7F54-B6A3-49A9-B653-97D6BCDB2C5D}"/>
    <cellStyle name="Normal 8 4 2 2 5 3" xfId="6523" xr:uid="{00000000-0005-0000-0000-0000E11D0000}"/>
    <cellStyle name="Normal 8 4 2 2 5 3 2" xfId="14962" xr:uid="{DC83067C-975E-44EB-81BB-537EB481E376}"/>
    <cellStyle name="Normal 8 4 2 2 5 4" xfId="10744" xr:uid="{F44D0E9F-B86A-4DE0-A310-3767BEE5411F}"/>
    <cellStyle name="Normal 8 4 2 2 6" xfId="2652" xr:uid="{00000000-0005-0000-0000-0000E21D0000}"/>
    <cellStyle name="Normal 8 4 2 2 6 2" xfId="6936" xr:uid="{00000000-0005-0000-0000-0000E31D0000}"/>
    <cellStyle name="Normal 8 4 2 2 6 2 2" xfId="15375" xr:uid="{A6EBF6E8-00EC-47FB-B289-B01901872C32}"/>
    <cellStyle name="Normal 8 4 2 2 6 3" xfId="11157" xr:uid="{B12036FC-BE99-430C-93BC-E51557BC2010}"/>
    <cellStyle name="Normal 8 4 2 2 7" xfId="4871" xr:uid="{00000000-0005-0000-0000-0000E41D0000}"/>
    <cellStyle name="Normal 8 4 2 2 7 2" xfId="13310" xr:uid="{EF3CA083-F3A8-40B2-A888-68EC0DE95417}"/>
    <cellStyle name="Normal 8 4 2 2 8" xfId="9092" xr:uid="{7BF42606-77F8-49F5-BBD8-AE2BDB9270D3}"/>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CA9C64F1-57F9-4EBF-8961-14E085CAEC56}"/>
    <cellStyle name="Normal 8 4 2 3 2 3" xfId="11649" xr:uid="{2186C28E-FA8A-4A7C-BD4F-F0FCD00E691D}"/>
    <cellStyle name="Normal 8 4 2 3 3" xfId="5283" xr:uid="{00000000-0005-0000-0000-0000E81D0000}"/>
    <cellStyle name="Normal 8 4 2 3 3 2" xfId="13722" xr:uid="{0BE9695D-B8C0-4191-95A9-99C575C1BADE}"/>
    <cellStyle name="Normal 8 4 2 3 4" xfId="9504" xr:uid="{229FD315-1B4F-4251-987B-D3FAE19A8B27}"/>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9CAA5681-1343-4825-B8F4-3DD1EF752851}"/>
    <cellStyle name="Normal 8 4 2 4 2 3" xfId="12062" xr:uid="{98CC4C3B-82D9-4ABD-BB08-96FC367F54CB}"/>
    <cellStyle name="Normal 8 4 2 4 3" xfId="5696" xr:uid="{00000000-0005-0000-0000-0000EC1D0000}"/>
    <cellStyle name="Normal 8 4 2 4 3 2" xfId="14135" xr:uid="{AA92B5A4-E655-4617-A571-68FDA9605EBF}"/>
    <cellStyle name="Normal 8 4 2 4 4" xfId="9917" xr:uid="{1EEB4325-BBB1-489C-AE67-1B1263A2E036}"/>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3D088C65-4599-41B6-A692-AA560B4E4633}"/>
    <cellStyle name="Normal 8 4 2 5 2 3" xfId="12475" xr:uid="{9931034E-764E-40EB-8E9F-8AA92D04396F}"/>
    <cellStyle name="Normal 8 4 2 5 3" xfId="6109" xr:uid="{00000000-0005-0000-0000-0000F01D0000}"/>
    <cellStyle name="Normal 8 4 2 5 3 2" xfId="14548" xr:uid="{00967346-9645-4C55-AEC4-651AF3088DF9}"/>
    <cellStyle name="Normal 8 4 2 5 4" xfId="10330" xr:uid="{AAAB3668-8AB0-4BDD-9E58-030A1F297DB7}"/>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F9267D3F-7FCC-4C20-A0F5-07BF8D372EA5}"/>
    <cellStyle name="Normal 8 4 2 6 2 3" xfId="12888" xr:uid="{F02A7AAA-F023-4404-AEAE-A1F08CBE5845}"/>
    <cellStyle name="Normal 8 4 2 6 3" xfId="6522" xr:uid="{00000000-0005-0000-0000-0000F41D0000}"/>
    <cellStyle name="Normal 8 4 2 6 3 2" xfId="14961" xr:uid="{015A756C-1355-4566-A62B-537A5651ED25}"/>
    <cellStyle name="Normal 8 4 2 6 4" xfId="10743" xr:uid="{8B536C17-5DD4-41D3-B897-F4A3F69B2E37}"/>
    <cellStyle name="Normal 8 4 2 7" xfId="2651" xr:uid="{00000000-0005-0000-0000-0000F51D0000}"/>
    <cellStyle name="Normal 8 4 2 7 2" xfId="6935" xr:uid="{00000000-0005-0000-0000-0000F61D0000}"/>
    <cellStyle name="Normal 8 4 2 7 2 2" xfId="15374" xr:uid="{9124FB11-DFD6-4A1E-BBC0-016924312002}"/>
    <cellStyle name="Normal 8 4 2 7 3" xfId="11156" xr:uid="{50565328-3B02-454A-830E-6A78D409E942}"/>
    <cellStyle name="Normal 8 4 2 8" xfId="4870" xr:uid="{00000000-0005-0000-0000-0000F71D0000}"/>
    <cellStyle name="Normal 8 4 2 8 2" xfId="13309" xr:uid="{9113A58E-E33F-4D10-B583-F42F821BD529}"/>
    <cellStyle name="Normal 8 4 2 9" xfId="9091" xr:uid="{119DFF21-CD8A-439A-BE3D-594F75894F95}"/>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DDDFBD34-654C-49C5-8A76-2395135617D6}"/>
    <cellStyle name="Normal 8 4 3 2 2 3" xfId="11651" xr:uid="{7CE37652-49AE-4D2A-8CAA-F1AF1C7B1287}"/>
    <cellStyle name="Normal 8 4 3 2 3" xfId="5285" xr:uid="{00000000-0005-0000-0000-0000FC1D0000}"/>
    <cellStyle name="Normal 8 4 3 2 3 2" xfId="13724" xr:uid="{A9F3BD87-82DB-4908-8B07-77E051CFB930}"/>
    <cellStyle name="Normal 8 4 3 2 4" xfId="9506" xr:uid="{7D28E1BD-50BB-45C3-814A-414E29705A4F}"/>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FE5E0D30-6751-461B-8750-D4F1E04CDAF9}"/>
    <cellStyle name="Normal 8 4 3 3 2 3" xfId="12064" xr:uid="{5767BF55-F998-4ECE-A253-D695A803147B}"/>
    <cellStyle name="Normal 8 4 3 3 3" xfId="5698" xr:uid="{00000000-0005-0000-0000-0000001E0000}"/>
    <cellStyle name="Normal 8 4 3 3 3 2" xfId="14137" xr:uid="{ABDDC0A5-EC72-4AA2-8569-8AB2754E09CA}"/>
    <cellStyle name="Normal 8 4 3 3 4" xfId="9919" xr:uid="{55534DD7-5C92-4D84-B053-5A2A8A5491A0}"/>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0349F64D-CC33-40F8-A2D1-3D4A6D0859B3}"/>
    <cellStyle name="Normal 8 4 3 4 2 3" xfId="12477" xr:uid="{25BF7845-B1B6-4144-881B-6BD28DDAC3AC}"/>
    <cellStyle name="Normal 8 4 3 4 3" xfId="6111" xr:uid="{00000000-0005-0000-0000-0000041E0000}"/>
    <cellStyle name="Normal 8 4 3 4 3 2" xfId="14550" xr:uid="{F9782D47-7220-4EE5-9902-945A2173EFB1}"/>
    <cellStyle name="Normal 8 4 3 4 4" xfId="10332" xr:uid="{183D3A47-3CCA-4BE2-9C49-A83249A995C8}"/>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FCAD98C6-09EC-45F4-B937-C8017A9FD22F}"/>
    <cellStyle name="Normal 8 4 3 5 2 3" xfId="12890" xr:uid="{45B35B69-632F-4B7D-AE4C-2C28D76717D1}"/>
    <cellStyle name="Normal 8 4 3 5 3" xfId="6524" xr:uid="{00000000-0005-0000-0000-0000081E0000}"/>
    <cellStyle name="Normal 8 4 3 5 3 2" xfId="14963" xr:uid="{182B7424-90CE-4A0E-81A2-5EAF4A9D2C5E}"/>
    <cellStyle name="Normal 8 4 3 5 4" xfId="10745" xr:uid="{4590356B-DB21-405C-A5BC-7CE6E5CD9DF9}"/>
    <cellStyle name="Normal 8 4 3 6" xfId="2653" xr:uid="{00000000-0005-0000-0000-0000091E0000}"/>
    <cellStyle name="Normal 8 4 3 6 2" xfId="6937" xr:uid="{00000000-0005-0000-0000-00000A1E0000}"/>
    <cellStyle name="Normal 8 4 3 6 2 2" xfId="15376" xr:uid="{783E8835-DA6F-4F52-AE56-FD95A67371AB}"/>
    <cellStyle name="Normal 8 4 3 6 3" xfId="11158" xr:uid="{613424AF-98FF-4F44-81BD-F2F678328589}"/>
    <cellStyle name="Normal 8 4 3 7" xfId="4872" xr:uid="{00000000-0005-0000-0000-00000B1E0000}"/>
    <cellStyle name="Normal 8 4 3 7 2" xfId="13311" xr:uid="{0B669B7A-D05E-479B-851A-79E18FB1AAA5}"/>
    <cellStyle name="Normal 8 4 3 8" xfId="9093" xr:uid="{666A0B0C-2DFF-460C-91AB-2A180F2F7A86}"/>
    <cellStyle name="Normal 8 4 4" xfId="970" xr:uid="{00000000-0005-0000-0000-00000C1E0000}"/>
    <cellStyle name="Normal 8 4 4 2" xfId="3204" xr:uid="{00000000-0005-0000-0000-00000D1E0000}"/>
    <cellStyle name="Normal 8 4 4 2 2" xfId="7427" xr:uid="{00000000-0005-0000-0000-00000E1E0000}"/>
    <cellStyle name="Normal 8 4 4 2 2 2" xfId="15866" xr:uid="{947676C0-C9C3-4A53-9605-285AF1F0BA70}"/>
    <cellStyle name="Normal 8 4 4 2 3" xfId="11648" xr:uid="{3F0B0569-C125-4DA2-B244-1DB7A02C8DF7}"/>
    <cellStyle name="Normal 8 4 4 3" xfId="5282" xr:uid="{00000000-0005-0000-0000-00000F1E0000}"/>
    <cellStyle name="Normal 8 4 4 3 2" xfId="13721" xr:uid="{9C7F9045-AD71-419F-A7E8-798A89FC7316}"/>
    <cellStyle name="Normal 8 4 4 4" xfId="9503" xr:uid="{2A1C1D25-856E-48A8-8888-132A7A7DFC29}"/>
    <cellStyle name="Normal 8 4 5" xfId="1387" xr:uid="{00000000-0005-0000-0000-0000101E0000}"/>
    <cellStyle name="Normal 8 4 5 2" xfId="3617" xr:uid="{00000000-0005-0000-0000-0000111E0000}"/>
    <cellStyle name="Normal 8 4 5 2 2" xfId="7840" xr:uid="{00000000-0005-0000-0000-0000121E0000}"/>
    <cellStyle name="Normal 8 4 5 2 2 2" xfId="16279" xr:uid="{DDFFCC85-EB7E-4AC2-A3B6-7D3F884DC56A}"/>
    <cellStyle name="Normal 8 4 5 2 3" xfId="12061" xr:uid="{E30960BB-7A3F-4724-98AE-E2517E8FF9E3}"/>
    <cellStyle name="Normal 8 4 5 3" xfId="5695" xr:uid="{00000000-0005-0000-0000-0000131E0000}"/>
    <cellStyle name="Normal 8 4 5 3 2" xfId="14134" xr:uid="{5B6473B4-1953-42D7-A1D2-4EEE5CA370D5}"/>
    <cellStyle name="Normal 8 4 5 4" xfId="9916" xr:uid="{455842FC-EA63-451B-AB33-230E93482DC5}"/>
    <cellStyle name="Normal 8 4 6" xfId="1800" xr:uid="{00000000-0005-0000-0000-0000141E0000}"/>
    <cellStyle name="Normal 8 4 6 2" xfId="4030" xr:uid="{00000000-0005-0000-0000-0000151E0000}"/>
    <cellStyle name="Normal 8 4 6 2 2" xfId="8253" xr:uid="{00000000-0005-0000-0000-0000161E0000}"/>
    <cellStyle name="Normal 8 4 6 2 2 2" xfId="16692" xr:uid="{F1383A39-C089-40D6-A56A-2C78A25262E1}"/>
    <cellStyle name="Normal 8 4 6 2 3" xfId="12474" xr:uid="{E3687709-2C46-4255-9216-CCBCE175CE57}"/>
    <cellStyle name="Normal 8 4 6 3" xfId="6108" xr:uid="{00000000-0005-0000-0000-0000171E0000}"/>
    <cellStyle name="Normal 8 4 6 3 2" xfId="14547" xr:uid="{37655835-6DB3-4AE7-94DE-34C24DD39D1C}"/>
    <cellStyle name="Normal 8 4 6 4" xfId="10329" xr:uid="{957CF6F8-132C-46D7-8526-7943C2A734F7}"/>
    <cellStyle name="Normal 8 4 7" xfId="2214" xr:uid="{00000000-0005-0000-0000-0000181E0000}"/>
    <cellStyle name="Normal 8 4 7 2" xfId="4443" xr:uid="{00000000-0005-0000-0000-0000191E0000}"/>
    <cellStyle name="Normal 8 4 7 2 2" xfId="8666" xr:uid="{00000000-0005-0000-0000-00001A1E0000}"/>
    <cellStyle name="Normal 8 4 7 2 2 2" xfId="17105" xr:uid="{B5828C37-643A-47B9-8F1D-A4C7C5F88D7A}"/>
    <cellStyle name="Normal 8 4 7 2 3" xfId="12887" xr:uid="{55DE3BCE-4998-4F71-A5EA-E4E831444A32}"/>
    <cellStyle name="Normal 8 4 7 3" xfId="6521" xr:uid="{00000000-0005-0000-0000-00001B1E0000}"/>
    <cellStyle name="Normal 8 4 7 3 2" xfId="14960" xr:uid="{8518D620-4100-4444-B144-1C03B62B2A4C}"/>
    <cellStyle name="Normal 8 4 7 4" xfId="10742" xr:uid="{3E0C1BD0-E941-4403-BFA3-F5742F9B27D9}"/>
    <cellStyle name="Normal 8 4 8" xfId="2650" xr:uid="{00000000-0005-0000-0000-00001C1E0000}"/>
    <cellStyle name="Normal 8 4 8 2" xfId="6934" xr:uid="{00000000-0005-0000-0000-00001D1E0000}"/>
    <cellStyle name="Normal 8 4 8 2 2" xfId="15373" xr:uid="{291A62CF-DE64-45C9-9094-B5BD5699FA63}"/>
    <cellStyle name="Normal 8 4 8 3" xfId="11155" xr:uid="{E94870F0-C188-45A1-99B0-AF11B69E54D4}"/>
    <cellStyle name="Normal 8 4 9" xfId="4869" xr:uid="{00000000-0005-0000-0000-00001E1E0000}"/>
    <cellStyle name="Normal 8 4 9 2" xfId="13308" xr:uid="{592B3705-D20E-47FE-8B7C-07CDDE62C0C5}"/>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27D5B69E-3AB6-4A33-9348-C009C40EF534}"/>
    <cellStyle name="Normal 8 5 2 2 2 3" xfId="11653" xr:uid="{96A738D3-9F4B-420A-82AD-1E32E64DC92F}"/>
    <cellStyle name="Normal 8 5 2 2 3" xfId="5287" xr:uid="{00000000-0005-0000-0000-0000241E0000}"/>
    <cellStyle name="Normal 8 5 2 2 3 2" xfId="13726" xr:uid="{12B3E5CC-90C9-45ED-989B-F33A08BF99B2}"/>
    <cellStyle name="Normal 8 5 2 2 4" xfId="9508" xr:uid="{24713E59-4C30-4F5A-BB7B-85D68814B701}"/>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DEECD022-397A-4BD7-85A7-B98D4B3DC144}"/>
    <cellStyle name="Normal 8 5 2 3 2 3" xfId="12066" xr:uid="{4C6C7691-4851-4A38-B091-5DBF8ECC05A0}"/>
    <cellStyle name="Normal 8 5 2 3 3" xfId="5700" xr:uid="{00000000-0005-0000-0000-0000281E0000}"/>
    <cellStyle name="Normal 8 5 2 3 3 2" xfId="14139" xr:uid="{FA419BA1-33D7-4896-AB7F-2E753B0F6E41}"/>
    <cellStyle name="Normal 8 5 2 3 4" xfId="9921" xr:uid="{2392CF45-4FF6-4D4C-9FCE-7C3218D3E7D6}"/>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97B832D6-7EF1-4AFC-9E3F-6916114DB141}"/>
    <cellStyle name="Normal 8 5 2 4 2 3" xfId="12479" xr:uid="{F472BFC1-CDD5-40DF-B6D2-3D0A56547CB4}"/>
    <cellStyle name="Normal 8 5 2 4 3" xfId="6113" xr:uid="{00000000-0005-0000-0000-00002C1E0000}"/>
    <cellStyle name="Normal 8 5 2 4 3 2" xfId="14552" xr:uid="{01924158-0FD4-4278-B5DF-D0A9AFC71E0B}"/>
    <cellStyle name="Normal 8 5 2 4 4" xfId="10334" xr:uid="{8D1348AC-0214-463B-88EA-B2B66C685093}"/>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C858AD73-6886-4EBC-91F6-3EF59706570C}"/>
    <cellStyle name="Normal 8 5 2 5 2 3" xfId="12892" xr:uid="{B9F91266-51CD-4546-8078-60646DA85929}"/>
    <cellStyle name="Normal 8 5 2 5 3" xfId="6526" xr:uid="{00000000-0005-0000-0000-0000301E0000}"/>
    <cellStyle name="Normal 8 5 2 5 3 2" xfId="14965" xr:uid="{D768099B-9BBF-4950-8190-231E6806A759}"/>
    <cellStyle name="Normal 8 5 2 5 4" xfId="10747" xr:uid="{81AB4B14-DBC7-4EB3-B6D9-9610F0CD264A}"/>
    <cellStyle name="Normal 8 5 2 6" xfId="2655" xr:uid="{00000000-0005-0000-0000-0000311E0000}"/>
    <cellStyle name="Normal 8 5 2 6 2" xfId="6939" xr:uid="{00000000-0005-0000-0000-0000321E0000}"/>
    <cellStyle name="Normal 8 5 2 6 2 2" xfId="15378" xr:uid="{C1762479-2679-40E3-AE71-79F0FCEEE89D}"/>
    <cellStyle name="Normal 8 5 2 6 3" xfId="11160" xr:uid="{D4AB32ED-BE1C-4E5F-A236-5D9EF22A939A}"/>
    <cellStyle name="Normal 8 5 2 7" xfId="4874" xr:uid="{00000000-0005-0000-0000-0000331E0000}"/>
    <cellStyle name="Normal 8 5 2 7 2" xfId="13313" xr:uid="{4E986F6F-33BF-4358-9687-02393F2AAC0F}"/>
    <cellStyle name="Normal 8 5 2 8" xfId="9095" xr:uid="{4087A476-35AF-4A6E-9D39-901BBB169AEC}"/>
    <cellStyle name="Normal 8 5 3" xfId="974" xr:uid="{00000000-0005-0000-0000-0000341E0000}"/>
    <cellStyle name="Normal 8 5 3 2" xfId="3208" xr:uid="{00000000-0005-0000-0000-0000351E0000}"/>
    <cellStyle name="Normal 8 5 3 2 2" xfId="7431" xr:uid="{00000000-0005-0000-0000-0000361E0000}"/>
    <cellStyle name="Normal 8 5 3 2 2 2" xfId="15870" xr:uid="{99CF05DD-2C5D-42A9-9168-171FD7204E54}"/>
    <cellStyle name="Normal 8 5 3 2 3" xfId="11652" xr:uid="{58D53AD1-4FC4-49D7-A4E8-5D42B396A01B}"/>
    <cellStyle name="Normal 8 5 3 3" xfId="5286" xr:uid="{00000000-0005-0000-0000-0000371E0000}"/>
    <cellStyle name="Normal 8 5 3 3 2" xfId="13725" xr:uid="{61FD214F-6F64-42DB-B8E3-EB7C015FCD7B}"/>
    <cellStyle name="Normal 8 5 3 4" xfId="9507" xr:uid="{17B2A619-9355-4D0E-8BDD-0EB2D7C1A43D}"/>
    <cellStyle name="Normal 8 5 4" xfId="1391" xr:uid="{00000000-0005-0000-0000-0000381E0000}"/>
    <cellStyle name="Normal 8 5 4 2" xfId="3621" xr:uid="{00000000-0005-0000-0000-0000391E0000}"/>
    <cellStyle name="Normal 8 5 4 2 2" xfId="7844" xr:uid="{00000000-0005-0000-0000-00003A1E0000}"/>
    <cellStyle name="Normal 8 5 4 2 2 2" xfId="16283" xr:uid="{61BD6F07-9DC3-4E56-A37C-196133FD1AA8}"/>
    <cellStyle name="Normal 8 5 4 2 3" xfId="12065" xr:uid="{C2C2DFD2-E22C-4A67-AE82-6EC82CC53273}"/>
    <cellStyle name="Normal 8 5 4 3" xfId="5699" xr:uid="{00000000-0005-0000-0000-00003B1E0000}"/>
    <cellStyle name="Normal 8 5 4 3 2" xfId="14138" xr:uid="{5A9015CB-9F37-4F21-907D-7CBE4F4C2780}"/>
    <cellStyle name="Normal 8 5 4 4" xfId="9920" xr:uid="{C52FFC73-1793-402C-BE65-9F727C3F843A}"/>
    <cellStyle name="Normal 8 5 5" xfId="1804" xr:uid="{00000000-0005-0000-0000-00003C1E0000}"/>
    <cellStyle name="Normal 8 5 5 2" xfId="4034" xr:uid="{00000000-0005-0000-0000-00003D1E0000}"/>
    <cellStyle name="Normal 8 5 5 2 2" xfId="8257" xr:uid="{00000000-0005-0000-0000-00003E1E0000}"/>
    <cellStyle name="Normal 8 5 5 2 2 2" xfId="16696" xr:uid="{9F3ACF6F-4CE9-449C-BC89-C11926B723CC}"/>
    <cellStyle name="Normal 8 5 5 2 3" xfId="12478" xr:uid="{1B23D1A7-68BB-42FA-B452-65A70011B185}"/>
    <cellStyle name="Normal 8 5 5 3" xfId="6112" xr:uid="{00000000-0005-0000-0000-00003F1E0000}"/>
    <cellStyle name="Normal 8 5 5 3 2" xfId="14551" xr:uid="{E5597B37-4E29-41A2-96E1-2904D6B1DAFF}"/>
    <cellStyle name="Normal 8 5 5 4" xfId="10333" xr:uid="{BA1A4F16-73C9-4314-9122-D3CF912EB8E6}"/>
    <cellStyle name="Normal 8 5 6" xfId="2218" xr:uid="{00000000-0005-0000-0000-0000401E0000}"/>
    <cellStyle name="Normal 8 5 6 2" xfId="4447" xr:uid="{00000000-0005-0000-0000-0000411E0000}"/>
    <cellStyle name="Normal 8 5 6 2 2" xfId="8670" xr:uid="{00000000-0005-0000-0000-0000421E0000}"/>
    <cellStyle name="Normal 8 5 6 2 2 2" xfId="17109" xr:uid="{138B1F19-7F7B-4565-AD88-125289D7A6B1}"/>
    <cellStyle name="Normal 8 5 6 2 3" xfId="12891" xr:uid="{2EC7CB17-60C9-4583-ABC2-15F924129AF3}"/>
    <cellStyle name="Normal 8 5 6 3" xfId="6525" xr:uid="{00000000-0005-0000-0000-0000431E0000}"/>
    <cellStyle name="Normal 8 5 6 3 2" xfId="14964" xr:uid="{E9F12CBD-C976-4D4C-BD25-45C804FADA2A}"/>
    <cellStyle name="Normal 8 5 6 4" xfId="10746" xr:uid="{F8D6DCC4-F9C8-4349-8B5F-54088585C352}"/>
    <cellStyle name="Normal 8 5 7" xfId="2654" xr:uid="{00000000-0005-0000-0000-0000441E0000}"/>
    <cellStyle name="Normal 8 5 7 2" xfId="6938" xr:uid="{00000000-0005-0000-0000-0000451E0000}"/>
    <cellStyle name="Normal 8 5 7 2 2" xfId="15377" xr:uid="{B62BF641-4E01-4541-B07D-38FC36E9CAD1}"/>
    <cellStyle name="Normal 8 5 7 3" xfId="11159" xr:uid="{3DC7A37E-D74F-4CD4-AB41-B2B87D10CE6F}"/>
    <cellStyle name="Normal 8 5 8" xfId="4873" xr:uid="{00000000-0005-0000-0000-0000461E0000}"/>
    <cellStyle name="Normal 8 5 8 2" xfId="13312" xr:uid="{0C9168F3-D2E8-4EB0-BDC9-2449E8691790}"/>
    <cellStyle name="Normal 8 5 9" xfId="9094" xr:uid="{FDAF83AB-6D75-4479-85C9-0C8A059D74D4}"/>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68F54782-CED9-4CAE-BB6F-045FF09DBDB5}"/>
    <cellStyle name="Normal 8 6 2 2 3" xfId="11654" xr:uid="{40A8332F-C70C-4D65-BE33-09AFA6B8DCFB}"/>
    <cellStyle name="Normal 8 6 2 3" xfId="5288" xr:uid="{00000000-0005-0000-0000-00004B1E0000}"/>
    <cellStyle name="Normal 8 6 2 3 2" xfId="13727" xr:uid="{A9EDB8A4-3D49-476D-A7C3-6B672F08D00E}"/>
    <cellStyle name="Normal 8 6 2 4" xfId="9509" xr:uid="{F43A393A-102F-4492-8B67-114CCCFA1DF7}"/>
    <cellStyle name="Normal 8 6 3" xfId="1393" xr:uid="{00000000-0005-0000-0000-00004C1E0000}"/>
    <cellStyle name="Normal 8 6 3 2" xfId="3623" xr:uid="{00000000-0005-0000-0000-00004D1E0000}"/>
    <cellStyle name="Normal 8 6 3 2 2" xfId="7846" xr:uid="{00000000-0005-0000-0000-00004E1E0000}"/>
    <cellStyle name="Normal 8 6 3 2 2 2" xfId="16285" xr:uid="{459572A7-BCF2-4EA3-92E4-64A875461471}"/>
    <cellStyle name="Normal 8 6 3 2 3" xfId="12067" xr:uid="{36E604B4-0A7E-4BAE-BC63-A8CEDF9FB496}"/>
    <cellStyle name="Normal 8 6 3 3" xfId="5701" xr:uid="{00000000-0005-0000-0000-00004F1E0000}"/>
    <cellStyle name="Normal 8 6 3 3 2" xfId="14140" xr:uid="{8A92554A-3D05-4801-8863-F2B2B24B73F4}"/>
    <cellStyle name="Normal 8 6 3 4" xfId="9922" xr:uid="{68D9E2A3-6A28-4707-A0C9-E2086F86B44E}"/>
    <cellStyle name="Normal 8 6 4" xfId="1806" xr:uid="{00000000-0005-0000-0000-0000501E0000}"/>
    <cellStyle name="Normal 8 6 4 2" xfId="4036" xr:uid="{00000000-0005-0000-0000-0000511E0000}"/>
    <cellStyle name="Normal 8 6 4 2 2" xfId="8259" xr:uid="{00000000-0005-0000-0000-0000521E0000}"/>
    <cellStyle name="Normal 8 6 4 2 2 2" xfId="16698" xr:uid="{3CA69FFB-1E1C-477A-8B31-6D1515019457}"/>
    <cellStyle name="Normal 8 6 4 2 3" xfId="12480" xr:uid="{C90231A4-B504-4B97-A220-E183AB9248C8}"/>
    <cellStyle name="Normal 8 6 4 3" xfId="6114" xr:uid="{00000000-0005-0000-0000-0000531E0000}"/>
    <cellStyle name="Normal 8 6 4 3 2" xfId="14553" xr:uid="{74D81ACC-24E0-48F6-9058-D7A80E8D436E}"/>
    <cellStyle name="Normal 8 6 4 4" xfId="10335" xr:uid="{D893634E-95FC-47C6-BB76-CA65BE1B8EA8}"/>
    <cellStyle name="Normal 8 6 5" xfId="2220" xr:uid="{00000000-0005-0000-0000-0000541E0000}"/>
    <cellStyle name="Normal 8 6 5 2" xfId="4449" xr:uid="{00000000-0005-0000-0000-0000551E0000}"/>
    <cellStyle name="Normal 8 6 5 2 2" xfId="8672" xr:uid="{00000000-0005-0000-0000-0000561E0000}"/>
    <cellStyle name="Normal 8 6 5 2 2 2" xfId="17111" xr:uid="{23A11F19-C806-488A-B11E-1A7E0FBD7AC3}"/>
    <cellStyle name="Normal 8 6 5 2 3" xfId="12893" xr:uid="{694CB821-C78B-42C4-B30E-D7CE15FC50A4}"/>
    <cellStyle name="Normal 8 6 5 3" xfId="6527" xr:uid="{00000000-0005-0000-0000-0000571E0000}"/>
    <cellStyle name="Normal 8 6 5 3 2" xfId="14966" xr:uid="{B7E11D9E-1EED-4E37-A359-E1A9E173B137}"/>
    <cellStyle name="Normal 8 6 5 4" xfId="10748" xr:uid="{7EC70377-B098-4BFD-A5A0-64ECD28738BE}"/>
    <cellStyle name="Normal 8 6 6" xfId="2656" xr:uid="{00000000-0005-0000-0000-0000581E0000}"/>
    <cellStyle name="Normal 8 6 6 2" xfId="6940" xr:uid="{00000000-0005-0000-0000-0000591E0000}"/>
    <cellStyle name="Normal 8 6 6 2 2" xfId="15379" xr:uid="{E209032C-D0C8-4088-8C04-2CAD99EECD43}"/>
    <cellStyle name="Normal 8 6 6 3" xfId="11161" xr:uid="{F3782891-B57E-4924-8DFB-648BD3EB2AEE}"/>
    <cellStyle name="Normal 8 6 7" xfId="4875" xr:uid="{00000000-0005-0000-0000-00005A1E0000}"/>
    <cellStyle name="Normal 8 6 7 2" xfId="13314" xr:uid="{58788BB8-C658-48D7-A98A-564504A888DA}"/>
    <cellStyle name="Normal 8 6 8" xfId="9096" xr:uid="{E4FFDDBC-1C8A-4215-8E78-8B6F164E7E1F}"/>
    <cellStyle name="Normal 8 7" xfId="945" xr:uid="{00000000-0005-0000-0000-00005B1E0000}"/>
    <cellStyle name="Normal 8 7 2" xfId="3179" xr:uid="{00000000-0005-0000-0000-00005C1E0000}"/>
    <cellStyle name="Normal 8 7 2 2" xfId="7402" xr:uid="{00000000-0005-0000-0000-00005D1E0000}"/>
    <cellStyle name="Normal 8 7 2 2 2" xfId="15841" xr:uid="{419E011D-FA5A-4A50-B0EC-AE1192A3483B}"/>
    <cellStyle name="Normal 8 7 2 3" xfId="11623" xr:uid="{D6BEBAD7-4E71-4A7C-9685-09EFDFE4D2F6}"/>
    <cellStyle name="Normal 8 7 3" xfId="5257" xr:uid="{00000000-0005-0000-0000-00005E1E0000}"/>
    <cellStyle name="Normal 8 7 3 2" xfId="13696" xr:uid="{B739AC47-80B2-4EA5-82A5-8DC9B44AE7C6}"/>
    <cellStyle name="Normal 8 7 4" xfId="9478" xr:uid="{D2CF5489-B219-4962-AE28-C00AB2EBA0DD}"/>
    <cellStyle name="Normal 8 8" xfId="1362" xr:uid="{00000000-0005-0000-0000-00005F1E0000}"/>
    <cellStyle name="Normal 8 8 2" xfId="3592" xr:uid="{00000000-0005-0000-0000-0000601E0000}"/>
    <cellStyle name="Normal 8 8 2 2" xfId="7815" xr:uid="{00000000-0005-0000-0000-0000611E0000}"/>
    <cellStyle name="Normal 8 8 2 2 2" xfId="16254" xr:uid="{0F073C5C-D795-49EE-A5D4-2D7169069D77}"/>
    <cellStyle name="Normal 8 8 2 3" xfId="12036" xr:uid="{34B06AF7-6758-4C78-BE70-DA6CD9FB2E58}"/>
    <cellStyle name="Normal 8 8 3" xfId="5670" xr:uid="{00000000-0005-0000-0000-0000621E0000}"/>
    <cellStyle name="Normal 8 8 3 2" xfId="14109" xr:uid="{F5AB864B-599F-49A2-9164-BBA27D18EFE7}"/>
    <cellStyle name="Normal 8 8 4" xfId="9891" xr:uid="{BEB2A7DC-718F-4614-9587-2278AC57F435}"/>
    <cellStyle name="Normal 8 9" xfId="1775" xr:uid="{00000000-0005-0000-0000-0000631E0000}"/>
    <cellStyle name="Normal 8 9 2" xfId="4005" xr:uid="{00000000-0005-0000-0000-0000641E0000}"/>
    <cellStyle name="Normal 8 9 2 2" xfId="8228" xr:uid="{00000000-0005-0000-0000-0000651E0000}"/>
    <cellStyle name="Normal 8 9 2 2 2" xfId="16667" xr:uid="{0F116123-F21E-42BE-BE36-30F7022156F1}"/>
    <cellStyle name="Normal 8 9 2 3" xfId="12449" xr:uid="{7510E787-18A8-4F54-A081-CD37C0DB79FD}"/>
    <cellStyle name="Normal 8 9 3" xfId="6083" xr:uid="{00000000-0005-0000-0000-0000661E0000}"/>
    <cellStyle name="Normal 8 9 3 2" xfId="14522" xr:uid="{13595D53-76D1-4465-8F4A-54CB03EFA1F8}"/>
    <cellStyle name="Normal 8 9 4" xfId="10304" xr:uid="{0017DFD0-5574-408F-B457-3A61F28A3125}"/>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F48AC8C9-163E-4063-9614-77B5882AE47A}"/>
    <cellStyle name="Normal 9 2 10 3" xfId="11162" xr:uid="{11B93C4A-7749-4EB1-B1E1-818E1C01088F}"/>
    <cellStyle name="Normal 9 2 11" xfId="4876" xr:uid="{00000000-0005-0000-0000-00006B1E0000}"/>
    <cellStyle name="Normal 9 2 11 2" xfId="13315" xr:uid="{5C0E2220-5883-47E2-8C63-4DDE45C4B6A5}"/>
    <cellStyle name="Normal 9 2 12" xfId="9097" xr:uid="{6BABD1AE-066A-417B-AA30-3343BDFD4743}"/>
    <cellStyle name="Normal 9 2 2" xfId="512" xr:uid="{00000000-0005-0000-0000-00006C1E0000}"/>
    <cellStyle name="Normal 9 2 2 10" xfId="4877" xr:uid="{00000000-0005-0000-0000-00006D1E0000}"/>
    <cellStyle name="Normal 9 2 2 10 2" xfId="13316" xr:uid="{FB98F6F6-495B-4EC6-9EE3-A3B3E520B9AB}"/>
    <cellStyle name="Normal 9 2 2 11" xfId="9098" xr:uid="{95C5F61A-3A37-44E5-8224-E14E8BB62C10}"/>
    <cellStyle name="Normal 9 2 2 2" xfId="513" xr:uid="{00000000-0005-0000-0000-00006E1E0000}"/>
    <cellStyle name="Normal 9 2 2 2 10" xfId="9099" xr:uid="{143AC9B5-F259-44DF-AD12-3F525688E8BA}"/>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61158635-66D8-442E-859B-A21B2A2576BA}"/>
    <cellStyle name="Normal 9 2 2 2 2 2 2 2 3" xfId="11659" xr:uid="{5F9633C5-F9BA-46B9-AEBA-6EFA89DB27DC}"/>
    <cellStyle name="Normal 9 2 2 2 2 2 2 3" xfId="5293" xr:uid="{00000000-0005-0000-0000-0000741E0000}"/>
    <cellStyle name="Normal 9 2 2 2 2 2 2 3 2" xfId="13732" xr:uid="{9EF50CE3-C856-483A-9AC2-56E61BD40BF7}"/>
    <cellStyle name="Normal 9 2 2 2 2 2 2 4" xfId="9514" xr:uid="{6DE413BF-FC17-4D93-95DD-1837BD7D1DB8}"/>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255BA8D6-5C3D-466C-9324-A49833E37265}"/>
    <cellStyle name="Normal 9 2 2 2 2 2 3 2 3" xfId="12072" xr:uid="{DA28BA75-D8A8-4340-B896-511101FC99B9}"/>
    <cellStyle name="Normal 9 2 2 2 2 2 3 3" xfId="5706" xr:uid="{00000000-0005-0000-0000-0000781E0000}"/>
    <cellStyle name="Normal 9 2 2 2 2 2 3 3 2" xfId="14145" xr:uid="{B41EFB5B-7A48-4FC4-86B6-8741ACB2AF9D}"/>
    <cellStyle name="Normal 9 2 2 2 2 2 3 4" xfId="9927" xr:uid="{BEAB3B32-9044-437F-8A2B-F177FC33AC72}"/>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4C442F88-BB5E-4308-ACB4-5075CAB7D13B}"/>
    <cellStyle name="Normal 9 2 2 2 2 2 4 2 3" xfId="12485" xr:uid="{6CE665AC-028F-4308-B08F-7B1CFC7F0C45}"/>
    <cellStyle name="Normal 9 2 2 2 2 2 4 3" xfId="6119" xr:uid="{00000000-0005-0000-0000-00007C1E0000}"/>
    <cellStyle name="Normal 9 2 2 2 2 2 4 3 2" xfId="14558" xr:uid="{A33BBBCD-A311-47E0-8446-2D4E21341AB3}"/>
    <cellStyle name="Normal 9 2 2 2 2 2 4 4" xfId="10340" xr:uid="{29A948DF-B6F3-47AF-A522-04B2B2D92419}"/>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50E9C537-6847-4681-AC48-4F09EC6EA01A}"/>
    <cellStyle name="Normal 9 2 2 2 2 2 5 2 3" xfId="12898" xr:uid="{F29DFCE6-C725-4F4F-8E76-DB60A67020C8}"/>
    <cellStyle name="Normal 9 2 2 2 2 2 5 3" xfId="6532" xr:uid="{00000000-0005-0000-0000-0000801E0000}"/>
    <cellStyle name="Normal 9 2 2 2 2 2 5 3 2" xfId="14971" xr:uid="{697ECE6B-F834-40CC-9389-23262E33FE15}"/>
    <cellStyle name="Normal 9 2 2 2 2 2 5 4" xfId="10753" xr:uid="{F815FDA6-847D-45F3-9DBC-A734722AD399}"/>
    <cellStyle name="Normal 9 2 2 2 2 2 6" xfId="2661" xr:uid="{00000000-0005-0000-0000-0000811E0000}"/>
    <cellStyle name="Normal 9 2 2 2 2 2 6 2" xfId="6945" xr:uid="{00000000-0005-0000-0000-0000821E0000}"/>
    <cellStyle name="Normal 9 2 2 2 2 2 6 2 2" xfId="15384" xr:uid="{1F0E66E1-2D21-40D4-AC03-9ACCEA6A4DD5}"/>
    <cellStyle name="Normal 9 2 2 2 2 2 6 3" xfId="11166" xr:uid="{3BA8FB61-ADEF-450C-80E8-125F2D544434}"/>
    <cellStyle name="Normal 9 2 2 2 2 2 7" xfId="4880" xr:uid="{00000000-0005-0000-0000-0000831E0000}"/>
    <cellStyle name="Normal 9 2 2 2 2 2 7 2" xfId="13319" xr:uid="{9532EFCA-FA72-4D24-A8C6-C564B4D15673}"/>
    <cellStyle name="Normal 9 2 2 2 2 2 8" xfId="9101" xr:uid="{D0DC056E-5BC9-4115-A924-4BC534CBDDD4}"/>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4B816A08-71A2-422D-A054-525EFD4E7D51}"/>
    <cellStyle name="Normal 9 2 2 2 2 3 2 3" xfId="11658" xr:uid="{5CAC53D8-5EC7-4D04-A2D4-166B8452466F}"/>
    <cellStyle name="Normal 9 2 2 2 2 3 3" xfId="5292" xr:uid="{00000000-0005-0000-0000-0000871E0000}"/>
    <cellStyle name="Normal 9 2 2 2 2 3 3 2" xfId="13731" xr:uid="{D9ACC8D9-6E40-4FF4-AF8D-5D740C83AAA2}"/>
    <cellStyle name="Normal 9 2 2 2 2 3 4" xfId="9513" xr:uid="{F4E27EF8-9DC2-43B7-A071-8139474BD43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6CD543AF-55B4-4784-8381-240B7D483E89}"/>
    <cellStyle name="Normal 9 2 2 2 2 4 2 3" xfId="12071" xr:uid="{E92D1FD1-23B8-4328-BEC9-73296156AB41}"/>
    <cellStyle name="Normal 9 2 2 2 2 4 3" xfId="5705" xr:uid="{00000000-0005-0000-0000-00008B1E0000}"/>
    <cellStyle name="Normal 9 2 2 2 2 4 3 2" xfId="14144" xr:uid="{B0A58560-073D-4672-932E-A929975C1221}"/>
    <cellStyle name="Normal 9 2 2 2 2 4 4" xfId="9926" xr:uid="{E0579567-379F-4C2F-9F8C-56BE20593E68}"/>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F714775E-5935-4CA0-BF8A-727906742BF8}"/>
    <cellStyle name="Normal 9 2 2 2 2 5 2 3" xfId="12484" xr:uid="{66CCF530-6F65-435D-9095-EB90BFC5A9E0}"/>
    <cellStyle name="Normal 9 2 2 2 2 5 3" xfId="6118" xr:uid="{00000000-0005-0000-0000-00008F1E0000}"/>
    <cellStyle name="Normal 9 2 2 2 2 5 3 2" xfId="14557" xr:uid="{73C4A847-B0FD-406E-8933-E7BBC241BDCB}"/>
    <cellStyle name="Normal 9 2 2 2 2 5 4" xfId="10339" xr:uid="{96E46704-A6A0-4765-8749-501A6897F0DE}"/>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1F7CD85E-6C01-4CF5-B7C7-3C4E955EC67B}"/>
    <cellStyle name="Normal 9 2 2 2 2 6 2 3" xfId="12897" xr:uid="{6385CE46-2BA3-4C63-BF06-1C61DD6C9C79}"/>
    <cellStyle name="Normal 9 2 2 2 2 6 3" xfId="6531" xr:uid="{00000000-0005-0000-0000-0000931E0000}"/>
    <cellStyle name="Normal 9 2 2 2 2 6 3 2" xfId="14970" xr:uid="{9044BFAB-BCE2-405F-9881-1F8AB5FB8821}"/>
    <cellStyle name="Normal 9 2 2 2 2 6 4" xfId="10752" xr:uid="{76FA773E-1F19-4352-838B-DAB42A1D0833}"/>
    <cellStyle name="Normal 9 2 2 2 2 7" xfId="2660" xr:uid="{00000000-0005-0000-0000-0000941E0000}"/>
    <cellStyle name="Normal 9 2 2 2 2 7 2" xfId="6944" xr:uid="{00000000-0005-0000-0000-0000951E0000}"/>
    <cellStyle name="Normal 9 2 2 2 2 7 2 2" xfId="15383" xr:uid="{0D569089-54E9-48D3-951B-A06385DD22B7}"/>
    <cellStyle name="Normal 9 2 2 2 2 7 3" xfId="11165" xr:uid="{D5299FA4-5933-4901-A7A2-EC40109287C7}"/>
    <cellStyle name="Normal 9 2 2 2 2 8" xfId="4879" xr:uid="{00000000-0005-0000-0000-0000961E0000}"/>
    <cellStyle name="Normal 9 2 2 2 2 8 2" xfId="13318" xr:uid="{57E91D53-0805-4996-BD27-A9EC088A54D0}"/>
    <cellStyle name="Normal 9 2 2 2 2 9" xfId="9100" xr:uid="{C5225464-EC8E-45AA-8341-ED2F625070CA}"/>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1527916D-0AF1-4691-A153-AA2BC1E61796}"/>
    <cellStyle name="Normal 9 2 2 2 3 2 2 3" xfId="11660" xr:uid="{9596547E-5FE8-4832-A54D-28CB7AF7F346}"/>
    <cellStyle name="Normal 9 2 2 2 3 2 3" xfId="5294" xr:uid="{00000000-0005-0000-0000-00009B1E0000}"/>
    <cellStyle name="Normal 9 2 2 2 3 2 3 2" xfId="13733" xr:uid="{3F05CA82-123C-4591-A625-D941A23D9BCB}"/>
    <cellStyle name="Normal 9 2 2 2 3 2 4" xfId="9515" xr:uid="{8238F039-3214-4D4E-8433-CEF01B8B3335}"/>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4504469F-8931-4262-806B-1BB9F9D33363}"/>
    <cellStyle name="Normal 9 2 2 2 3 3 2 3" xfId="12073" xr:uid="{5FF7163B-F5B1-42D9-B139-3817DC725469}"/>
    <cellStyle name="Normal 9 2 2 2 3 3 3" xfId="5707" xr:uid="{00000000-0005-0000-0000-00009F1E0000}"/>
    <cellStyle name="Normal 9 2 2 2 3 3 3 2" xfId="14146" xr:uid="{BC86216B-979D-4746-81F6-AFA3C07E9C10}"/>
    <cellStyle name="Normal 9 2 2 2 3 3 4" xfId="9928" xr:uid="{805D3AB0-45BA-47CA-93FB-4B7850A6F2D2}"/>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6B9B17A7-0631-4045-9A8E-2942B594C385}"/>
    <cellStyle name="Normal 9 2 2 2 3 4 2 3" xfId="12486" xr:uid="{A176080C-EEE2-4840-A485-C179F56F59C0}"/>
    <cellStyle name="Normal 9 2 2 2 3 4 3" xfId="6120" xr:uid="{00000000-0005-0000-0000-0000A31E0000}"/>
    <cellStyle name="Normal 9 2 2 2 3 4 3 2" xfId="14559" xr:uid="{98722C55-D606-48DE-B54A-E190B398BCCB}"/>
    <cellStyle name="Normal 9 2 2 2 3 4 4" xfId="10341" xr:uid="{57BD36FE-C3DC-4E91-8B55-DCD472BEBAD4}"/>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B6299975-612C-4ED1-AE78-00315F8D8C7E}"/>
    <cellStyle name="Normal 9 2 2 2 3 5 2 3" xfId="12899" xr:uid="{54400B79-E5A3-4E3E-95F8-1604C7419BA4}"/>
    <cellStyle name="Normal 9 2 2 2 3 5 3" xfId="6533" xr:uid="{00000000-0005-0000-0000-0000A71E0000}"/>
    <cellStyle name="Normal 9 2 2 2 3 5 3 2" xfId="14972" xr:uid="{85F4DA60-1F30-4A72-98FA-8C2DF0D10448}"/>
    <cellStyle name="Normal 9 2 2 2 3 5 4" xfId="10754" xr:uid="{5009CDDA-B4AB-4797-9672-39549E99E109}"/>
    <cellStyle name="Normal 9 2 2 2 3 6" xfId="2662" xr:uid="{00000000-0005-0000-0000-0000A81E0000}"/>
    <cellStyle name="Normal 9 2 2 2 3 6 2" xfId="6946" xr:uid="{00000000-0005-0000-0000-0000A91E0000}"/>
    <cellStyle name="Normal 9 2 2 2 3 6 2 2" xfId="15385" xr:uid="{7EB1183B-8004-445F-AA6E-3E2CB0E7A692}"/>
    <cellStyle name="Normal 9 2 2 2 3 6 3" xfId="11167" xr:uid="{D4251F7A-F66B-4724-9F4F-E23524509273}"/>
    <cellStyle name="Normal 9 2 2 2 3 7" xfId="4881" xr:uid="{00000000-0005-0000-0000-0000AA1E0000}"/>
    <cellStyle name="Normal 9 2 2 2 3 7 2" xfId="13320" xr:uid="{BBE217EB-92A2-49D2-815D-3C1EFF0BAB16}"/>
    <cellStyle name="Normal 9 2 2 2 3 8" xfId="9102" xr:uid="{E81BD1F4-DEBE-45E8-A3F7-1C2A3320E3FF}"/>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6C45B9AE-17AF-46E7-B3D0-24E3D636EF47}"/>
    <cellStyle name="Normal 9 2 2 2 4 2 3" xfId="11657" xr:uid="{F16A6432-1AE1-4C2A-AA31-83D9207C68EB}"/>
    <cellStyle name="Normal 9 2 2 2 4 3" xfId="5291" xr:uid="{00000000-0005-0000-0000-0000AE1E0000}"/>
    <cellStyle name="Normal 9 2 2 2 4 3 2" xfId="13730" xr:uid="{9B7ED070-EC73-45A8-910C-298C6C7B0142}"/>
    <cellStyle name="Normal 9 2 2 2 4 4" xfId="9512" xr:uid="{8B2DB932-BE33-4C6D-920B-587A6C3EB6D7}"/>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CCDC4ECD-E07C-4EF5-9B45-1BD8701BBA0B}"/>
    <cellStyle name="Normal 9 2 2 2 5 2 3" xfId="12070" xr:uid="{B2AF2FDB-E04A-4E63-ACAB-71080B59574D}"/>
    <cellStyle name="Normal 9 2 2 2 5 3" xfId="5704" xr:uid="{00000000-0005-0000-0000-0000B21E0000}"/>
    <cellStyle name="Normal 9 2 2 2 5 3 2" xfId="14143" xr:uid="{7505BF01-BD57-4DC7-B88F-98778838BC35}"/>
    <cellStyle name="Normal 9 2 2 2 5 4" xfId="9925" xr:uid="{FA3E2538-4BDF-4398-B1B7-952F505E5408}"/>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590FC5F0-9D46-4DF6-A615-0597E7792A07}"/>
    <cellStyle name="Normal 9 2 2 2 6 2 3" xfId="12483" xr:uid="{A824A8F4-0B5E-44E3-B1FE-97F7BEB8CC1B}"/>
    <cellStyle name="Normal 9 2 2 2 6 3" xfId="6117" xr:uid="{00000000-0005-0000-0000-0000B61E0000}"/>
    <cellStyle name="Normal 9 2 2 2 6 3 2" xfId="14556" xr:uid="{C2851E36-A591-4AEF-A424-3AAD2340208B}"/>
    <cellStyle name="Normal 9 2 2 2 6 4" xfId="10338" xr:uid="{D3DCC713-7C54-462E-8A9B-EED5E3F3AB29}"/>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45946FA7-1801-4A25-911A-C6AC0342A66A}"/>
    <cellStyle name="Normal 9 2 2 2 7 2 3" xfId="12896" xr:uid="{21C50EAD-8DDB-4AD1-8577-4EBFF86D41FE}"/>
    <cellStyle name="Normal 9 2 2 2 7 3" xfId="6530" xr:uid="{00000000-0005-0000-0000-0000BA1E0000}"/>
    <cellStyle name="Normal 9 2 2 2 7 3 2" xfId="14969" xr:uid="{34362322-98C6-4456-BF8E-D3C47C4A9B7B}"/>
    <cellStyle name="Normal 9 2 2 2 7 4" xfId="10751" xr:uid="{0A48F03D-42F3-4D0C-BB93-949FDE48D1A8}"/>
    <cellStyle name="Normal 9 2 2 2 8" xfId="2659" xr:uid="{00000000-0005-0000-0000-0000BB1E0000}"/>
    <cellStyle name="Normal 9 2 2 2 8 2" xfId="6943" xr:uid="{00000000-0005-0000-0000-0000BC1E0000}"/>
    <cellStyle name="Normal 9 2 2 2 8 2 2" xfId="15382" xr:uid="{A59C7DC6-D01C-42B9-A4C5-9D0EB66167AA}"/>
    <cellStyle name="Normal 9 2 2 2 8 3" xfId="11164" xr:uid="{656B8000-E130-4438-AD54-BB25784EFBB9}"/>
    <cellStyle name="Normal 9 2 2 2 9" xfId="4878" xr:uid="{00000000-0005-0000-0000-0000BD1E0000}"/>
    <cellStyle name="Normal 9 2 2 2 9 2" xfId="13317" xr:uid="{B36386D3-B3E4-455C-B13F-27C40FEE46C1}"/>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5D19B94E-4415-40BA-9C2F-76FD268ED981}"/>
    <cellStyle name="Normal 9 2 2 3 2 2 2 3" xfId="11662" xr:uid="{936DCCB8-5AAE-4223-B7A0-C81897E0D357}"/>
    <cellStyle name="Normal 9 2 2 3 2 2 3" xfId="5296" xr:uid="{00000000-0005-0000-0000-0000C31E0000}"/>
    <cellStyle name="Normal 9 2 2 3 2 2 3 2" xfId="13735" xr:uid="{5DAE1261-2387-4E81-AF7B-A4CA29253469}"/>
    <cellStyle name="Normal 9 2 2 3 2 2 4" xfId="9517" xr:uid="{72AD9F54-54A4-4643-9519-14448382FEB8}"/>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E056F785-24B8-41E7-BF66-8A6567B17FAB}"/>
    <cellStyle name="Normal 9 2 2 3 2 3 2 3" xfId="12075" xr:uid="{C7376C86-9705-404D-B411-1597F070B012}"/>
    <cellStyle name="Normal 9 2 2 3 2 3 3" xfId="5709" xr:uid="{00000000-0005-0000-0000-0000C71E0000}"/>
    <cellStyle name="Normal 9 2 2 3 2 3 3 2" xfId="14148" xr:uid="{F1A8F451-40A3-4447-8784-4CD84A5C1EBA}"/>
    <cellStyle name="Normal 9 2 2 3 2 3 4" xfId="9930" xr:uid="{B638D0AD-BA06-484A-B160-8F63723B64AC}"/>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E4071851-C43F-4782-9E49-59001E13E90C}"/>
    <cellStyle name="Normal 9 2 2 3 2 4 2 3" xfId="12488" xr:uid="{0FBF5BC4-560D-4A90-9AC0-2B0225308C70}"/>
    <cellStyle name="Normal 9 2 2 3 2 4 3" xfId="6122" xr:uid="{00000000-0005-0000-0000-0000CB1E0000}"/>
    <cellStyle name="Normal 9 2 2 3 2 4 3 2" xfId="14561" xr:uid="{93292382-EAEE-4FCE-B270-4FA3F077336D}"/>
    <cellStyle name="Normal 9 2 2 3 2 4 4" xfId="10343" xr:uid="{96D01F74-9AF1-4789-972D-1A4748A80534}"/>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D3B27853-064A-4EB6-A291-74F5F9F4DB57}"/>
    <cellStyle name="Normal 9 2 2 3 2 5 2 3" xfId="12901" xr:uid="{B5722F1D-5DDD-4E56-8BFB-992F98AF436B}"/>
    <cellStyle name="Normal 9 2 2 3 2 5 3" xfId="6535" xr:uid="{00000000-0005-0000-0000-0000CF1E0000}"/>
    <cellStyle name="Normal 9 2 2 3 2 5 3 2" xfId="14974" xr:uid="{5246D161-4512-447E-99A3-ABE3B87272FE}"/>
    <cellStyle name="Normal 9 2 2 3 2 5 4" xfId="10756" xr:uid="{F33A0261-D6DD-498A-BA37-57B22F197844}"/>
    <cellStyle name="Normal 9 2 2 3 2 6" xfId="2664" xr:uid="{00000000-0005-0000-0000-0000D01E0000}"/>
    <cellStyle name="Normal 9 2 2 3 2 6 2" xfId="6948" xr:uid="{00000000-0005-0000-0000-0000D11E0000}"/>
    <cellStyle name="Normal 9 2 2 3 2 6 2 2" xfId="15387" xr:uid="{9E78C4FF-BDE3-4655-BE5A-96A4043A99C3}"/>
    <cellStyle name="Normal 9 2 2 3 2 6 3" xfId="11169" xr:uid="{F8E39FDD-30C7-46D7-AE0F-FDC042D3E9C2}"/>
    <cellStyle name="Normal 9 2 2 3 2 7" xfId="4883" xr:uid="{00000000-0005-0000-0000-0000D21E0000}"/>
    <cellStyle name="Normal 9 2 2 3 2 7 2" xfId="13322" xr:uid="{28D71C57-BCF7-4B54-AC0F-1C69BFC60C63}"/>
    <cellStyle name="Normal 9 2 2 3 2 8" xfId="9104" xr:uid="{E0C6FC85-BF6B-4B68-B9D1-CC86523A0751}"/>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9BF1CB90-B845-494D-90ED-5A331F2ACF4A}"/>
    <cellStyle name="Normal 9 2 2 3 3 2 3" xfId="11661" xr:uid="{84F1F49C-B512-4147-93D1-E85A4D670114}"/>
    <cellStyle name="Normal 9 2 2 3 3 3" xfId="5295" xr:uid="{00000000-0005-0000-0000-0000D61E0000}"/>
    <cellStyle name="Normal 9 2 2 3 3 3 2" xfId="13734" xr:uid="{FA901947-609C-4BBA-8213-F4361634FC43}"/>
    <cellStyle name="Normal 9 2 2 3 3 4" xfId="9516" xr:uid="{3723B2DA-33A9-4682-BE57-9824530138F7}"/>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E91E93BA-4EBB-484B-A76F-A47874CACC68}"/>
    <cellStyle name="Normal 9 2 2 3 4 2 3" xfId="12074" xr:uid="{E03453A0-04AE-4F18-9475-44C673419989}"/>
    <cellStyle name="Normal 9 2 2 3 4 3" xfId="5708" xr:uid="{00000000-0005-0000-0000-0000DA1E0000}"/>
    <cellStyle name="Normal 9 2 2 3 4 3 2" xfId="14147" xr:uid="{EA7A3D1C-0B7B-494F-B071-225D8A8131CF}"/>
    <cellStyle name="Normal 9 2 2 3 4 4" xfId="9929" xr:uid="{77725F3E-D0FA-455C-B21D-EA40F6CF89D3}"/>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B81AACD7-A9A7-408B-B92E-7AE0D4FE3E95}"/>
    <cellStyle name="Normal 9 2 2 3 5 2 3" xfId="12487" xr:uid="{4531F74C-EEEA-4D5E-A6D2-297053356E03}"/>
    <cellStyle name="Normal 9 2 2 3 5 3" xfId="6121" xr:uid="{00000000-0005-0000-0000-0000DE1E0000}"/>
    <cellStyle name="Normal 9 2 2 3 5 3 2" xfId="14560" xr:uid="{60670477-A42F-4A3A-8556-93D06F2A7C22}"/>
    <cellStyle name="Normal 9 2 2 3 5 4" xfId="10342" xr:uid="{F06E67D0-D136-4166-B1E9-6D5AF23F1D7E}"/>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2DEA1BC3-A750-4C7B-A9FE-E76B7F235DB1}"/>
    <cellStyle name="Normal 9 2 2 3 6 2 3" xfId="12900" xr:uid="{58F9E0A9-3304-444D-BD21-AD5CE32B25F1}"/>
    <cellStyle name="Normal 9 2 2 3 6 3" xfId="6534" xr:uid="{00000000-0005-0000-0000-0000E21E0000}"/>
    <cellStyle name="Normal 9 2 2 3 6 3 2" xfId="14973" xr:uid="{510E433E-0DCE-4E30-9099-8B93FF191366}"/>
    <cellStyle name="Normal 9 2 2 3 6 4" xfId="10755" xr:uid="{F8249E3F-5A71-49D1-AD3B-B49AFD52357C}"/>
    <cellStyle name="Normal 9 2 2 3 7" xfId="2663" xr:uid="{00000000-0005-0000-0000-0000E31E0000}"/>
    <cellStyle name="Normal 9 2 2 3 7 2" xfId="6947" xr:uid="{00000000-0005-0000-0000-0000E41E0000}"/>
    <cellStyle name="Normal 9 2 2 3 7 2 2" xfId="15386" xr:uid="{FAA76923-F241-4918-A0EC-8679325CA5E9}"/>
    <cellStyle name="Normal 9 2 2 3 7 3" xfId="11168" xr:uid="{374E820C-9C32-4436-8C13-25B343AD07D3}"/>
    <cellStyle name="Normal 9 2 2 3 8" xfId="4882" xr:uid="{00000000-0005-0000-0000-0000E51E0000}"/>
    <cellStyle name="Normal 9 2 2 3 8 2" xfId="13321" xr:uid="{E184D96C-ADFB-4502-B140-6EB07C4E6CEA}"/>
    <cellStyle name="Normal 9 2 2 3 9" xfId="9103" xr:uid="{D5C3121F-3D83-4962-AB22-F0B7147DFF74}"/>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1F06C820-CD85-4300-A338-9BB889414604}"/>
    <cellStyle name="Normal 9 2 2 4 2 2 3" xfId="11663" xr:uid="{4B58035F-8AD6-4EED-B850-986F596AA805}"/>
    <cellStyle name="Normal 9 2 2 4 2 3" xfId="5297" xr:uid="{00000000-0005-0000-0000-0000EA1E0000}"/>
    <cellStyle name="Normal 9 2 2 4 2 3 2" xfId="13736" xr:uid="{BBDAE988-7C64-4BCC-81CC-EED78656C82F}"/>
    <cellStyle name="Normal 9 2 2 4 2 4" xfId="9518" xr:uid="{8826CB99-11CA-45D7-9CA2-7C0B2137549B}"/>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E263E74E-E73E-466C-AE78-4F0B2BC3DE32}"/>
    <cellStyle name="Normal 9 2 2 4 3 2 3" xfId="12076" xr:uid="{369C4808-617D-4818-83C7-DC2B1EB661E4}"/>
    <cellStyle name="Normal 9 2 2 4 3 3" xfId="5710" xr:uid="{00000000-0005-0000-0000-0000EE1E0000}"/>
    <cellStyle name="Normal 9 2 2 4 3 3 2" xfId="14149" xr:uid="{E9655DC8-9644-42FE-A799-7E300F58B219}"/>
    <cellStyle name="Normal 9 2 2 4 3 4" xfId="9931" xr:uid="{95DA1511-5E24-44B5-9E11-BFB956E6A4D9}"/>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087A51D2-7372-4D48-9911-A4773B5CA467}"/>
    <cellStyle name="Normal 9 2 2 4 4 2 3" xfId="12489" xr:uid="{7CA99ED2-777D-4CE3-A660-EC39DFC732A9}"/>
    <cellStyle name="Normal 9 2 2 4 4 3" xfId="6123" xr:uid="{00000000-0005-0000-0000-0000F21E0000}"/>
    <cellStyle name="Normal 9 2 2 4 4 3 2" xfId="14562" xr:uid="{CCC4B8ED-6C75-40D0-91F2-A75194F380D6}"/>
    <cellStyle name="Normal 9 2 2 4 4 4" xfId="10344" xr:uid="{4BC7CC15-034E-414B-899E-92F727E79689}"/>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C3343315-A14F-4884-938C-CEFC233DBDCC}"/>
    <cellStyle name="Normal 9 2 2 4 5 2 3" xfId="12902" xr:uid="{C7E7466F-34E3-4095-92E2-3155B77E5FA0}"/>
    <cellStyle name="Normal 9 2 2 4 5 3" xfId="6536" xr:uid="{00000000-0005-0000-0000-0000F61E0000}"/>
    <cellStyle name="Normal 9 2 2 4 5 3 2" xfId="14975" xr:uid="{2AE9352E-4AF1-44DC-A094-F9B0DD2B2BCF}"/>
    <cellStyle name="Normal 9 2 2 4 5 4" xfId="10757" xr:uid="{ED78EC95-93C8-41AB-B120-AFB3C3CA0B0F}"/>
    <cellStyle name="Normal 9 2 2 4 6" xfId="2665" xr:uid="{00000000-0005-0000-0000-0000F71E0000}"/>
    <cellStyle name="Normal 9 2 2 4 6 2" xfId="6949" xr:uid="{00000000-0005-0000-0000-0000F81E0000}"/>
    <cellStyle name="Normal 9 2 2 4 6 2 2" xfId="15388" xr:uid="{5C066DD5-A68D-46C1-B3F6-2D14D727C351}"/>
    <cellStyle name="Normal 9 2 2 4 6 3" xfId="11170" xr:uid="{B6F041D3-D685-4ED4-B8C4-AC557244B5F3}"/>
    <cellStyle name="Normal 9 2 2 4 7" xfId="4884" xr:uid="{00000000-0005-0000-0000-0000F91E0000}"/>
    <cellStyle name="Normal 9 2 2 4 7 2" xfId="13323" xr:uid="{8471BCC1-A721-4022-BC55-34704A1787EF}"/>
    <cellStyle name="Normal 9 2 2 4 8" xfId="9105" xr:uid="{6E06C2D9-97DB-47C7-847E-86C625E185E0}"/>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714A6ECC-9240-43CE-AAC9-F3E169E55231}"/>
    <cellStyle name="Normal 9 2 2 5 2 3" xfId="11656" xr:uid="{9032F78F-0CD7-4E42-BBB9-6A3FE968AD72}"/>
    <cellStyle name="Normal 9 2 2 5 3" xfId="5290" xr:uid="{00000000-0005-0000-0000-0000FD1E0000}"/>
    <cellStyle name="Normal 9 2 2 5 3 2" xfId="13729" xr:uid="{B2A6F650-C617-47FD-B94E-C0D1BDED9E7B}"/>
    <cellStyle name="Normal 9 2 2 5 4" xfId="9511" xr:uid="{9F1F8C6A-D397-4E6F-B3D3-F989FDFB8BF7}"/>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81C2255E-D182-40A6-B982-B9F87CDE7F86}"/>
    <cellStyle name="Normal 9 2 2 6 2 3" xfId="12069" xr:uid="{04299D3D-61AC-430E-B7DA-DD18A889D4DF}"/>
    <cellStyle name="Normal 9 2 2 6 3" xfId="5703" xr:uid="{00000000-0005-0000-0000-0000011F0000}"/>
    <cellStyle name="Normal 9 2 2 6 3 2" xfId="14142" xr:uid="{009F3679-3DB0-4024-A884-F1A4281558B1}"/>
    <cellStyle name="Normal 9 2 2 6 4" xfId="9924" xr:uid="{5F609FB9-3478-4B7C-9E0D-08D81CD1847E}"/>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DC330931-4046-4A28-8EA2-9D295CB35644}"/>
    <cellStyle name="Normal 9 2 2 7 2 3" xfId="12482" xr:uid="{2869FB2E-48EB-4130-912C-4B8387DD6DE7}"/>
    <cellStyle name="Normal 9 2 2 7 3" xfId="6116" xr:uid="{00000000-0005-0000-0000-0000051F0000}"/>
    <cellStyle name="Normal 9 2 2 7 3 2" xfId="14555" xr:uid="{8BFD8207-AC62-4962-A563-E7B2736BF45A}"/>
    <cellStyle name="Normal 9 2 2 7 4" xfId="10337" xr:uid="{2563DA91-D083-48C3-A7A5-5ED4EC54059D}"/>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87CD7F96-81DE-430C-B252-802DC342F04F}"/>
    <cellStyle name="Normal 9 2 2 8 2 3" xfId="12895" xr:uid="{A6F91FB7-FF3A-4E8D-9045-F3A922971512}"/>
    <cellStyle name="Normal 9 2 2 8 3" xfId="6529" xr:uid="{00000000-0005-0000-0000-0000091F0000}"/>
    <cellStyle name="Normal 9 2 2 8 3 2" xfId="14968" xr:uid="{73B2E079-535A-40BD-A77D-ED4514DDCF89}"/>
    <cellStyle name="Normal 9 2 2 8 4" xfId="10750" xr:uid="{1F44AAEF-C639-4352-8ECF-3C578E68245E}"/>
    <cellStyle name="Normal 9 2 2 9" xfId="2658" xr:uid="{00000000-0005-0000-0000-00000A1F0000}"/>
    <cellStyle name="Normal 9 2 2 9 2" xfId="6942" xr:uid="{00000000-0005-0000-0000-00000B1F0000}"/>
    <cellStyle name="Normal 9 2 2 9 2 2" xfId="15381" xr:uid="{3600B39D-DA9B-4674-BA57-0F44FEC2AF38}"/>
    <cellStyle name="Normal 9 2 2 9 3" xfId="11163" xr:uid="{C2CD912B-B0C8-455E-ABC5-6FD80EFF549D}"/>
    <cellStyle name="Normal 9 2 3" xfId="520" xr:uid="{00000000-0005-0000-0000-00000C1F0000}"/>
    <cellStyle name="Normal 9 2 3 10" xfId="9106" xr:uid="{EA1A4059-F84C-4D8D-A411-807F1E314F83}"/>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9E9352FC-A507-4D96-A00B-7142F7EB128F}"/>
    <cellStyle name="Normal 9 2 3 2 2 2 2 3" xfId="11666" xr:uid="{28F4B728-655D-46F5-AA7C-9B699FD963C2}"/>
    <cellStyle name="Normal 9 2 3 2 2 2 3" xfId="5300" xr:uid="{00000000-0005-0000-0000-0000121F0000}"/>
    <cellStyle name="Normal 9 2 3 2 2 2 3 2" xfId="13739" xr:uid="{2BF72341-9AEA-4437-B430-FBF586DFF2D1}"/>
    <cellStyle name="Normal 9 2 3 2 2 2 4" xfId="9521" xr:uid="{F51D0CE2-62A8-4C50-8B13-9A1585CD7D61}"/>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9771A5EB-8169-4406-96DD-2489EBF5926B}"/>
    <cellStyle name="Normal 9 2 3 2 2 3 2 3" xfId="12079" xr:uid="{39C1494A-CFE8-4AEE-ADED-74907934F8BB}"/>
    <cellStyle name="Normal 9 2 3 2 2 3 3" xfId="5713" xr:uid="{00000000-0005-0000-0000-0000161F0000}"/>
    <cellStyle name="Normal 9 2 3 2 2 3 3 2" xfId="14152" xr:uid="{36CCAECE-F530-40ED-B51D-117BD1F773F0}"/>
    <cellStyle name="Normal 9 2 3 2 2 3 4" xfId="9934" xr:uid="{1F1CA1C2-2F92-435E-AD44-9B55A1979AEE}"/>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7ED06FC7-3C10-463B-92E2-D82A272F205A}"/>
    <cellStyle name="Normal 9 2 3 2 2 4 2 3" xfId="12492" xr:uid="{632B40C5-02C9-47EB-9ECC-482E4C51D0F4}"/>
    <cellStyle name="Normal 9 2 3 2 2 4 3" xfId="6126" xr:uid="{00000000-0005-0000-0000-00001A1F0000}"/>
    <cellStyle name="Normal 9 2 3 2 2 4 3 2" xfId="14565" xr:uid="{BC4130F2-3243-4510-9411-AB23E068233C}"/>
    <cellStyle name="Normal 9 2 3 2 2 4 4" xfId="10347" xr:uid="{75440D7E-4D6C-45F3-A8D5-332AA3BD36DB}"/>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7E06127A-D634-414F-80EA-ACBCB1171BE2}"/>
    <cellStyle name="Normal 9 2 3 2 2 5 2 3" xfId="12905" xr:uid="{F07D335E-0A5F-4F1F-A2F4-BE0F072899A0}"/>
    <cellStyle name="Normal 9 2 3 2 2 5 3" xfId="6539" xr:uid="{00000000-0005-0000-0000-00001E1F0000}"/>
    <cellStyle name="Normal 9 2 3 2 2 5 3 2" xfId="14978" xr:uid="{568C4967-0CF1-4D8E-9ED3-3667FF661CCB}"/>
    <cellStyle name="Normal 9 2 3 2 2 5 4" xfId="10760" xr:uid="{BE9702E5-D472-4B8C-8B80-D15D231F296A}"/>
    <cellStyle name="Normal 9 2 3 2 2 6" xfId="2668" xr:uid="{00000000-0005-0000-0000-00001F1F0000}"/>
    <cellStyle name="Normal 9 2 3 2 2 6 2" xfId="6952" xr:uid="{00000000-0005-0000-0000-0000201F0000}"/>
    <cellStyle name="Normal 9 2 3 2 2 6 2 2" xfId="15391" xr:uid="{23300DF4-F36F-4C6B-A2BF-1F5BD8F9820A}"/>
    <cellStyle name="Normal 9 2 3 2 2 6 3" xfId="11173" xr:uid="{E2E581A9-4BDB-4D7E-BBB6-F2F80C0B9F05}"/>
    <cellStyle name="Normal 9 2 3 2 2 7" xfId="4887" xr:uid="{00000000-0005-0000-0000-0000211F0000}"/>
    <cellStyle name="Normal 9 2 3 2 2 7 2" xfId="13326" xr:uid="{F3661104-0F2C-459E-8085-B1F88317D1F8}"/>
    <cellStyle name="Normal 9 2 3 2 2 8" xfId="9108" xr:uid="{32B2C71C-D624-41AB-97C2-6D74B14829E8}"/>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638842F5-A129-43E7-9C13-414DCB6AB106}"/>
    <cellStyle name="Normal 9 2 3 2 3 2 3" xfId="11665" xr:uid="{C983E29B-1F2F-494D-9408-0668FE018206}"/>
    <cellStyle name="Normal 9 2 3 2 3 3" xfId="5299" xr:uid="{00000000-0005-0000-0000-0000251F0000}"/>
    <cellStyle name="Normal 9 2 3 2 3 3 2" xfId="13738" xr:uid="{2B055918-1885-4562-844B-600A98CE38BB}"/>
    <cellStyle name="Normal 9 2 3 2 3 4" xfId="9520" xr:uid="{E796907F-849E-45ED-AD8B-F963E47BFDE3}"/>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561E2380-2C5E-4CE2-A7E4-F6B8AE3E72D1}"/>
    <cellStyle name="Normal 9 2 3 2 4 2 3" xfId="12078" xr:uid="{0C1820A5-FBDE-4E45-8A90-9108BD496494}"/>
    <cellStyle name="Normal 9 2 3 2 4 3" xfId="5712" xr:uid="{00000000-0005-0000-0000-0000291F0000}"/>
    <cellStyle name="Normal 9 2 3 2 4 3 2" xfId="14151" xr:uid="{15D50499-9B3A-464C-844D-A46EAE70A860}"/>
    <cellStyle name="Normal 9 2 3 2 4 4" xfId="9933" xr:uid="{37DA6753-1657-4A36-8D45-16EA8BDD4037}"/>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C1ED7502-0213-49A0-AABC-25184A26B2EB}"/>
    <cellStyle name="Normal 9 2 3 2 5 2 3" xfId="12491" xr:uid="{0055F545-CD3C-4713-B559-9B63F885F3E5}"/>
    <cellStyle name="Normal 9 2 3 2 5 3" xfId="6125" xr:uid="{00000000-0005-0000-0000-00002D1F0000}"/>
    <cellStyle name="Normal 9 2 3 2 5 3 2" xfId="14564" xr:uid="{61C28904-3946-42EE-96A3-30F1173E1D44}"/>
    <cellStyle name="Normal 9 2 3 2 5 4" xfId="10346" xr:uid="{856A1AFC-D13F-4D77-877A-FF7D12801200}"/>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BCDAD4D1-3E96-4D0D-BE00-588AAC2C79D9}"/>
    <cellStyle name="Normal 9 2 3 2 6 2 3" xfId="12904" xr:uid="{9C7410AC-7935-4A20-BE5E-03523054F1DE}"/>
    <cellStyle name="Normal 9 2 3 2 6 3" xfId="6538" xr:uid="{00000000-0005-0000-0000-0000311F0000}"/>
    <cellStyle name="Normal 9 2 3 2 6 3 2" xfId="14977" xr:uid="{CB901F01-4910-4824-B3DB-B25DDDF6D0F1}"/>
    <cellStyle name="Normal 9 2 3 2 6 4" xfId="10759" xr:uid="{F0D8E13C-CA43-43DE-BDDD-374CAC7A1AD1}"/>
    <cellStyle name="Normal 9 2 3 2 7" xfId="2667" xr:uid="{00000000-0005-0000-0000-0000321F0000}"/>
    <cellStyle name="Normal 9 2 3 2 7 2" xfId="6951" xr:uid="{00000000-0005-0000-0000-0000331F0000}"/>
    <cellStyle name="Normal 9 2 3 2 7 2 2" xfId="15390" xr:uid="{7C675603-F549-4F8A-9846-6EA80C66ED26}"/>
    <cellStyle name="Normal 9 2 3 2 7 3" xfId="11172" xr:uid="{A267B75B-9EEF-41D0-9B5D-3DE16B221D6C}"/>
    <cellStyle name="Normal 9 2 3 2 8" xfId="4886" xr:uid="{00000000-0005-0000-0000-0000341F0000}"/>
    <cellStyle name="Normal 9 2 3 2 8 2" xfId="13325" xr:uid="{0C64C312-0ABC-4DBA-9E69-C3A8FBAA42CA}"/>
    <cellStyle name="Normal 9 2 3 2 9" xfId="9107" xr:uid="{45D73190-2F00-47A5-BA21-3BFD5E31F5F8}"/>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040409D4-3668-47AE-B388-72B2BFDC2FD0}"/>
    <cellStyle name="Normal 9 2 3 3 2 2 3" xfId="11667" xr:uid="{2BA0A814-403F-44E7-A8C9-9685F5B1FEA5}"/>
    <cellStyle name="Normal 9 2 3 3 2 3" xfId="5301" xr:uid="{00000000-0005-0000-0000-0000391F0000}"/>
    <cellStyle name="Normal 9 2 3 3 2 3 2" xfId="13740" xr:uid="{91C8A023-4954-418A-B5F3-E0FBFAD2FAAD}"/>
    <cellStyle name="Normal 9 2 3 3 2 4" xfId="9522" xr:uid="{1A233257-F916-4243-8925-8C111746B9C0}"/>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F79105F0-384E-4058-A168-EB0D75EDF23E}"/>
    <cellStyle name="Normal 9 2 3 3 3 2 3" xfId="12080" xr:uid="{97FA9FB1-D46B-49CB-8AFD-48130E6BE6A9}"/>
    <cellStyle name="Normal 9 2 3 3 3 3" xfId="5714" xr:uid="{00000000-0005-0000-0000-00003D1F0000}"/>
    <cellStyle name="Normal 9 2 3 3 3 3 2" xfId="14153" xr:uid="{8EED3FF8-A06B-4BF7-BA85-96376C6C805A}"/>
    <cellStyle name="Normal 9 2 3 3 3 4" xfId="9935" xr:uid="{63C773A0-13FA-4E55-9FDB-D54328920312}"/>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3F18856A-76D2-4654-AFB6-DC6E790D86A0}"/>
    <cellStyle name="Normal 9 2 3 3 4 2 3" xfId="12493" xr:uid="{9B55B24C-E3FA-4304-BC78-97C2A2FF90F9}"/>
    <cellStyle name="Normal 9 2 3 3 4 3" xfId="6127" xr:uid="{00000000-0005-0000-0000-0000411F0000}"/>
    <cellStyle name="Normal 9 2 3 3 4 3 2" xfId="14566" xr:uid="{A49703A6-8BB4-4C93-B3D9-8B2765253C15}"/>
    <cellStyle name="Normal 9 2 3 3 4 4" xfId="10348" xr:uid="{3E4B48C0-7378-4DE2-9E69-0C99CF7C4E84}"/>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BBA411ED-67C9-4858-A551-C4F49337930F}"/>
    <cellStyle name="Normal 9 2 3 3 5 2 3" xfId="12906" xr:uid="{644959D9-02C5-4671-9B5E-762A77C063A4}"/>
    <cellStyle name="Normal 9 2 3 3 5 3" xfId="6540" xr:uid="{00000000-0005-0000-0000-0000451F0000}"/>
    <cellStyle name="Normal 9 2 3 3 5 3 2" xfId="14979" xr:uid="{5320033D-B110-4F97-9225-CF48AEE0BD54}"/>
    <cellStyle name="Normal 9 2 3 3 5 4" xfId="10761" xr:uid="{7EB6DD91-5848-41BE-AFED-4F8A6B4A97A3}"/>
    <cellStyle name="Normal 9 2 3 3 6" xfId="2669" xr:uid="{00000000-0005-0000-0000-0000461F0000}"/>
    <cellStyle name="Normal 9 2 3 3 6 2" xfId="6953" xr:uid="{00000000-0005-0000-0000-0000471F0000}"/>
    <cellStyle name="Normal 9 2 3 3 6 2 2" xfId="15392" xr:uid="{8D399018-266F-4B58-8015-88248C17F5A3}"/>
    <cellStyle name="Normal 9 2 3 3 6 3" xfId="11174" xr:uid="{E41D26FF-D54E-44EC-B720-4E820EE43A3A}"/>
    <cellStyle name="Normal 9 2 3 3 7" xfId="4888" xr:uid="{00000000-0005-0000-0000-0000481F0000}"/>
    <cellStyle name="Normal 9 2 3 3 7 2" xfId="13327" xr:uid="{EFCD692E-8B76-46CB-BE40-98F4834C06DA}"/>
    <cellStyle name="Normal 9 2 3 3 8" xfId="9109" xr:uid="{E5529FA1-1D9F-4F71-B566-43EEA7D324C4}"/>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A5ADF3A0-DEEE-4E65-8D82-CC2274291062}"/>
    <cellStyle name="Normal 9 2 3 4 2 3" xfId="11664" xr:uid="{4EA16521-F3E3-45F1-ADCE-61DDA86673E2}"/>
    <cellStyle name="Normal 9 2 3 4 3" xfId="5298" xr:uid="{00000000-0005-0000-0000-00004C1F0000}"/>
    <cellStyle name="Normal 9 2 3 4 3 2" xfId="13737" xr:uid="{D5854853-7A26-4E01-95FE-8FF62E09434A}"/>
    <cellStyle name="Normal 9 2 3 4 4" xfId="9519" xr:uid="{486AFBB1-B525-479C-A5C4-7E4049D1CB7A}"/>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8CE13073-8AF4-4BCB-8A70-B1910A4442AF}"/>
    <cellStyle name="Normal 9 2 3 5 2 3" xfId="12077" xr:uid="{FEC895D7-E289-4764-A6DA-C49E4EF15EE1}"/>
    <cellStyle name="Normal 9 2 3 5 3" xfId="5711" xr:uid="{00000000-0005-0000-0000-0000501F0000}"/>
    <cellStyle name="Normal 9 2 3 5 3 2" xfId="14150" xr:uid="{521D33D4-EE43-4C51-8B5E-8329EA276C4F}"/>
    <cellStyle name="Normal 9 2 3 5 4" xfId="9932" xr:uid="{409556C6-268E-43DE-B25E-7E2FAC93FB0B}"/>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9722D785-2ED8-4457-806E-A0FF37106601}"/>
    <cellStyle name="Normal 9 2 3 6 2 3" xfId="12490" xr:uid="{5C977F14-B9B1-4F1B-9C8F-991D7F02AA7A}"/>
    <cellStyle name="Normal 9 2 3 6 3" xfId="6124" xr:uid="{00000000-0005-0000-0000-0000541F0000}"/>
    <cellStyle name="Normal 9 2 3 6 3 2" xfId="14563" xr:uid="{92928630-DE36-44CD-A154-B2A43030995B}"/>
    <cellStyle name="Normal 9 2 3 6 4" xfId="10345" xr:uid="{0E65289C-6BB8-4B72-80EA-B140DC6C28B9}"/>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61845CA8-79F3-464D-8A69-259A505DE131}"/>
    <cellStyle name="Normal 9 2 3 7 2 3" xfId="12903" xr:uid="{F2A17B5B-9D67-47B1-8AA6-4409BFEE5ABC}"/>
    <cellStyle name="Normal 9 2 3 7 3" xfId="6537" xr:uid="{00000000-0005-0000-0000-0000581F0000}"/>
    <cellStyle name="Normal 9 2 3 7 3 2" xfId="14976" xr:uid="{07623E8A-76D4-47CC-9D64-EA0FC7D47638}"/>
    <cellStyle name="Normal 9 2 3 7 4" xfId="10758" xr:uid="{7D0F16EB-8A28-4ABC-9FFA-221EA23E352E}"/>
    <cellStyle name="Normal 9 2 3 8" xfId="2666" xr:uid="{00000000-0005-0000-0000-0000591F0000}"/>
    <cellStyle name="Normal 9 2 3 8 2" xfId="6950" xr:uid="{00000000-0005-0000-0000-00005A1F0000}"/>
    <cellStyle name="Normal 9 2 3 8 2 2" xfId="15389" xr:uid="{0655ACC8-AD82-439A-9A8D-A8819DE8FA1A}"/>
    <cellStyle name="Normal 9 2 3 8 3" xfId="11171" xr:uid="{95BC17A5-E621-4F8C-B1E2-1D19DB55BF59}"/>
    <cellStyle name="Normal 9 2 3 9" xfId="4885" xr:uid="{00000000-0005-0000-0000-00005B1F0000}"/>
    <cellStyle name="Normal 9 2 3 9 2" xfId="13324" xr:uid="{09211A93-9D7D-41E4-84BC-1F5EFD150A47}"/>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6899F800-9B83-49BF-B412-614F8773C94B}"/>
    <cellStyle name="Normal 9 2 4 2 2 2 3" xfId="11669" xr:uid="{1E2584D2-CC05-4588-9E0A-A815745636C7}"/>
    <cellStyle name="Normal 9 2 4 2 2 3" xfId="5303" xr:uid="{00000000-0005-0000-0000-0000611F0000}"/>
    <cellStyle name="Normal 9 2 4 2 2 3 2" xfId="13742" xr:uid="{3A3B551F-1022-49A3-B57C-89B232AFFA32}"/>
    <cellStyle name="Normal 9 2 4 2 2 4" xfId="9524" xr:uid="{56229CD0-7212-4F38-A648-857D144476FD}"/>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52997CD6-D56B-427E-8690-44B624A24339}"/>
    <cellStyle name="Normal 9 2 4 2 3 2 3" xfId="12082" xr:uid="{32F28E7E-E8F2-4C0C-8AD8-9AE0F9754DFB}"/>
    <cellStyle name="Normal 9 2 4 2 3 3" xfId="5716" xr:uid="{00000000-0005-0000-0000-0000651F0000}"/>
    <cellStyle name="Normal 9 2 4 2 3 3 2" xfId="14155" xr:uid="{3EA02969-A6D4-4E4E-9B3C-8D3AFA6519E9}"/>
    <cellStyle name="Normal 9 2 4 2 3 4" xfId="9937" xr:uid="{47356390-7DC2-416B-AF48-551BC4BC1B88}"/>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00D8EE19-1DDF-408A-84BD-76F3D5F76C05}"/>
    <cellStyle name="Normal 9 2 4 2 4 2 3" xfId="12495" xr:uid="{86D64378-AE3D-41D0-924D-DEE93991BD04}"/>
    <cellStyle name="Normal 9 2 4 2 4 3" xfId="6129" xr:uid="{00000000-0005-0000-0000-0000691F0000}"/>
    <cellStyle name="Normal 9 2 4 2 4 3 2" xfId="14568" xr:uid="{5E087984-809E-4CA1-AA78-458D37FA41CE}"/>
    <cellStyle name="Normal 9 2 4 2 4 4" xfId="10350" xr:uid="{618BAECF-8FDD-43EB-BA3A-5E0669DB0140}"/>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822379BA-EBA7-4AD7-8975-5B98B191BB51}"/>
    <cellStyle name="Normal 9 2 4 2 5 2 3" xfId="12908" xr:uid="{BD82DD12-10C9-42E5-B3F3-D3B6FEE93B31}"/>
    <cellStyle name="Normal 9 2 4 2 5 3" xfId="6542" xr:uid="{00000000-0005-0000-0000-00006D1F0000}"/>
    <cellStyle name="Normal 9 2 4 2 5 3 2" xfId="14981" xr:uid="{BE9C65D2-AA57-44C7-84AF-0B2A20B58E4C}"/>
    <cellStyle name="Normal 9 2 4 2 5 4" xfId="10763" xr:uid="{71F2A6F9-DFC5-45BB-B5B3-F5E92CCB9AC7}"/>
    <cellStyle name="Normal 9 2 4 2 6" xfId="2671" xr:uid="{00000000-0005-0000-0000-00006E1F0000}"/>
    <cellStyle name="Normal 9 2 4 2 6 2" xfId="6955" xr:uid="{00000000-0005-0000-0000-00006F1F0000}"/>
    <cellStyle name="Normal 9 2 4 2 6 2 2" xfId="15394" xr:uid="{B73556B4-A35B-4D50-9959-0C74B3626DFA}"/>
    <cellStyle name="Normal 9 2 4 2 6 3" xfId="11176" xr:uid="{8D3694C2-D257-4EA4-B97E-7133455B219F}"/>
    <cellStyle name="Normal 9 2 4 2 7" xfId="4890" xr:uid="{00000000-0005-0000-0000-0000701F0000}"/>
    <cellStyle name="Normal 9 2 4 2 7 2" xfId="13329" xr:uid="{94E2AB46-CA71-4212-903B-E46978BD0323}"/>
    <cellStyle name="Normal 9 2 4 2 8" xfId="9111" xr:uid="{C6D099C7-ECFC-4EA2-928D-64EDF25307B3}"/>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B6DBC1E4-24FB-457D-801D-949DC3081AFB}"/>
    <cellStyle name="Normal 9 2 4 3 2 3" xfId="11668" xr:uid="{EDAE6014-4BC6-4F83-8762-61DC23748EB0}"/>
    <cellStyle name="Normal 9 2 4 3 3" xfId="5302" xr:uid="{00000000-0005-0000-0000-0000741F0000}"/>
    <cellStyle name="Normal 9 2 4 3 3 2" xfId="13741" xr:uid="{1EF60CF9-48F8-4572-AC0F-0B2A144BD3D0}"/>
    <cellStyle name="Normal 9 2 4 3 4" xfId="9523" xr:uid="{814F4AAA-650E-4798-99B4-0B02C9FEA01D}"/>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A562D80A-CC15-4F05-83EF-A95F38CAB00C}"/>
    <cellStyle name="Normal 9 2 4 4 2 3" xfId="12081" xr:uid="{0B88D9DD-1227-423D-993A-7EEACB84EEEF}"/>
    <cellStyle name="Normal 9 2 4 4 3" xfId="5715" xr:uid="{00000000-0005-0000-0000-0000781F0000}"/>
    <cellStyle name="Normal 9 2 4 4 3 2" xfId="14154" xr:uid="{E71FEBAD-E275-45B2-9539-4B7E9502CA00}"/>
    <cellStyle name="Normal 9 2 4 4 4" xfId="9936" xr:uid="{06518D57-25EA-465C-AC47-F033F3CD51A0}"/>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B0A78673-1B31-4621-9DA0-928DA801BD98}"/>
    <cellStyle name="Normal 9 2 4 5 2 3" xfId="12494" xr:uid="{245B0074-7298-46E6-BC9A-31860271A6B7}"/>
    <cellStyle name="Normal 9 2 4 5 3" xfId="6128" xr:uid="{00000000-0005-0000-0000-00007C1F0000}"/>
    <cellStyle name="Normal 9 2 4 5 3 2" xfId="14567" xr:uid="{585B636C-5A52-43E1-8229-6B3917318C7B}"/>
    <cellStyle name="Normal 9 2 4 5 4" xfId="10349" xr:uid="{E4B4C492-11FF-4541-BDFB-98F0AACF2AF7}"/>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DB44B890-71CC-4883-97DC-350496BE2D83}"/>
    <cellStyle name="Normal 9 2 4 6 2 3" xfId="12907" xr:uid="{3913CEC4-CA9A-463B-9BC7-E9901FA6DC83}"/>
    <cellStyle name="Normal 9 2 4 6 3" xfId="6541" xr:uid="{00000000-0005-0000-0000-0000801F0000}"/>
    <cellStyle name="Normal 9 2 4 6 3 2" xfId="14980" xr:uid="{63EA92E1-4D7B-48BC-87DF-FFCED7721F8D}"/>
    <cellStyle name="Normal 9 2 4 6 4" xfId="10762" xr:uid="{6B78C5D4-9208-4216-AE6E-9F6899CD2980}"/>
    <cellStyle name="Normal 9 2 4 7" xfId="2670" xr:uid="{00000000-0005-0000-0000-0000811F0000}"/>
    <cellStyle name="Normal 9 2 4 7 2" xfId="6954" xr:uid="{00000000-0005-0000-0000-0000821F0000}"/>
    <cellStyle name="Normal 9 2 4 7 2 2" xfId="15393" xr:uid="{6EC3AF77-ED5F-44FD-9C09-08DB1672BF25}"/>
    <cellStyle name="Normal 9 2 4 7 3" xfId="11175" xr:uid="{C84F7030-5EBC-4B40-8A01-208F6885FBCA}"/>
    <cellStyle name="Normal 9 2 4 8" xfId="4889" xr:uid="{00000000-0005-0000-0000-0000831F0000}"/>
    <cellStyle name="Normal 9 2 4 8 2" xfId="13328" xr:uid="{6902EEB9-A6A3-4374-88DF-CDE4DFCD10FA}"/>
    <cellStyle name="Normal 9 2 4 9" xfId="9110" xr:uid="{A403EA1B-8D99-4649-B997-CA2E8CB8B9B6}"/>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0F4478DD-2FD2-4661-B32E-2E9D4AC13827}"/>
    <cellStyle name="Normal 9 2 5 2 2 3" xfId="11670" xr:uid="{F1AD3280-6351-4349-9F79-96C35CC5C252}"/>
    <cellStyle name="Normal 9 2 5 2 3" xfId="5304" xr:uid="{00000000-0005-0000-0000-0000881F0000}"/>
    <cellStyle name="Normal 9 2 5 2 3 2" xfId="13743" xr:uid="{0CFB71B5-6770-4DAA-BE8B-C0E6A404FFBF}"/>
    <cellStyle name="Normal 9 2 5 2 4" xfId="9525" xr:uid="{4FBBCE01-CFCD-40C4-88EC-0DE10222BAE2}"/>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2C23A7BF-38D2-4789-A278-D43D75A6D0B2}"/>
    <cellStyle name="Normal 9 2 5 3 2 3" xfId="12083" xr:uid="{16BD17D7-2D77-42AB-AD7F-8857368E0B4C}"/>
    <cellStyle name="Normal 9 2 5 3 3" xfId="5717" xr:uid="{00000000-0005-0000-0000-00008C1F0000}"/>
    <cellStyle name="Normal 9 2 5 3 3 2" xfId="14156" xr:uid="{3D831C93-8C81-40A7-9831-9ED905025DA1}"/>
    <cellStyle name="Normal 9 2 5 3 4" xfId="9938" xr:uid="{66C2DBEA-453E-44AB-B8A1-199D085F6EE6}"/>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9429147F-AE27-4ADD-83E7-0E33644B2A23}"/>
    <cellStyle name="Normal 9 2 5 4 2 3" xfId="12496" xr:uid="{8A3F4803-DBB7-483A-9B7F-B97166468DD5}"/>
    <cellStyle name="Normal 9 2 5 4 3" xfId="6130" xr:uid="{00000000-0005-0000-0000-0000901F0000}"/>
    <cellStyle name="Normal 9 2 5 4 3 2" xfId="14569" xr:uid="{3085E1F6-5A79-4B2C-869F-C6FDC27AE9E6}"/>
    <cellStyle name="Normal 9 2 5 4 4" xfId="10351" xr:uid="{021C00A9-1861-4DA9-8851-20151252FF4D}"/>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37CAE4B7-9630-4502-A376-614566E496B0}"/>
    <cellStyle name="Normal 9 2 5 5 2 3" xfId="12909" xr:uid="{78557068-EDF4-45EF-9BE6-6C9A1BDDA4FC}"/>
    <cellStyle name="Normal 9 2 5 5 3" xfId="6543" xr:uid="{00000000-0005-0000-0000-0000941F0000}"/>
    <cellStyle name="Normal 9 2 5 5 3 2" xfId="14982" xr:uid="{2D2C2583-8D95-4709-9B08-7520A8727391}"/>
    <cellStyle name="Normal 9 2 5 5 4" xfId="10764" xr:uid="{4A6C9F6A-ABDC-4BDF-9660-BBA519CED2FF}"/>
    <cellStyle name="Normal 9 2 5 6" xfId="2672" xr:uid="{00000000-0005-0000-0000-0000951F0000}"/>
    <cellStyle name="Normal 9 2 5 6 2" xfId="6956" xr:uid="{00000000-0005-0000-0000-0000961F0000}"/>
    <cellStyle name="Normal 9 2 5 6 2 2" xfId="15395" xr:uid="{1D977E44-82CF-4577-887C-57F979F6F00A}"/>
    <cellStyle name="Normal 9 2 5 6 3" xfId="11177" xr:uid="{AF71F8C0-FDC1-4854-BCC2-DE17B53412F5}"/>
    <cellStyle name="Normal 9 2 5 7" xfId="4891" xr:uid="{00000000-0005-0000-0000-0000971F0000}"/>
    <cellStyle name="Normal 9 2 5 7 2" xfId="13330" xr:uid="{5ABC96FA-71A2-48B6-B5D1-881FDE500425}"/>
    <cellStyle name="Normal 9 2 5 8" xfId="9112" xr:uid="{BA1A0313-9EDB-4AAF-93CA-7640736B86B8}"/>
    <cellStyle name="Normal 9 2 6" xfId="978" xr:uid="{00000000-0005-0000-0000-0000981F0000}"/>
    <cellStyle name="Normal 9 2 6 2" xfId="3211" xr:uid="{00000000-0005-0000-0000-0000991F0000}"/>
    <cellStyle name="Normal 9 2 6 2 2" xfId="7434" xr:uid="{00000000-0005-0000-0000-00009A1F0000}"/>
    <cellStyle name="Normal 9 2 6 2 2 2" xfId="15873" xr:uid="{4CB41059-4FBE-4047-9146-B3495B7245A4}"/>
    <cellStyle name="Normal 9 2 6 2 3" xfId="11655" xr:uid="{8F466C63-8B9F-47D8-AA20-6A4F7FBDB928}"/>
    <cellStyle name="Normal 9 2 6 3" xfId="5289" xr:uid="{00000000-0005-0000-0000-00009B1F0000}"/>
    <cellStyle name="Normal 9 2 6 3 2" xfId="13728" xr:uid="{99F2EE61-39C3-4009-91D0-C58B9BF2500F}"/>
    <cellStyle name="Normal 9 2 6 4" xfId="9510" xr:uid="{6C7584C3-547F-4878-9122-EC6F80266CAE}"/>
    <cellStyle name="Normal 9 2 7" xfId="1394" xr:uid="{00000000-0005-0000-0000-00009C1F0000}"/>
    <cellStyle name="Normal 9 2 7 2" xfId="3624" xr:uid="{00000000-0005-0000-0000-00009D1F0000}"/>
    <cellStyle name="Normal 9 2 7 2 2" xfId="7847" xr:uid="{00000000-0005-0000-0000-00009E1F0000}"/>
    <cellStyle name="Normal 9 2 7 2 2 2" xfId="16286" xr:uid="{40CB349D-3460-4CC0-92F5-8B257FDE144E}"/>
    <cellStyle name="Normal 9 2 7 2 3" xfId="12068" xr:uid="{A38145FC-DE38-42D7-99A2-7C7753543A57}"/>
    <cellStyle name="Normal 9 2 7 3" xfId="5702" xr:uid="{00000000-0005-0000-0000-00009F1F0000}"/>
    <cellStyle name="Normal 9 2 7 3 2" xfId="14141" xr:uid="{0C582B09-B735-477C-B219-0D9B8B009919}"/>
    <cellStyle name="Normal 9 2 7 4" xfId="9923" xr:uid="{BFEC7841-85AD-4F18-AE3B-7BF8B8F47CAA}"/>
    <cellStyle name="Normal 9 2 8" xfId="1807" xr:uid="{00000000-0005-0000-0000-0000A01F0000}"/>
    <cellStyle name="Normal 9 2 8 2" xfId="4037" xr:uid="{00000000-0005-0000-0000-0000A11F0000}"/>
    <cellStyle name="Normal 9 2 8 2 2" xfId="8260" xr:uid="{00000000-0005-0000-0000-0000A21F0000}"/>
    <cellStyle name="Normal 9 2 8 2 2 2" xfId="16699" xr:uid="{08B94621-921F-482E-BC2D-9914CB20226D}"/>
    <cellStyle name="Normal 9 2 8 2 3" xfId="12481" xr:uid="{8CF505EB-FEB3-430A-A640-FA7BAAA246C8}"/>
    <cellStyle name="Normal 9 2 8 3" xfId="6115" xr:uid="{00000000-0005-0000-0000-0000A31F0000}"/>
    <cellStyle name="Normal 9 2 8 3 2" xfId="14554" xr:uid="{72FDCF57-1F5B-4D1E-8B31-EA407265DC3B}"/>
    <cellStyle name="Normal 9 2 8 4" xfId="10336" xr:uid="{6CAF9B5A-F2AA-42FD-AA59-67124051D8D9}"/>
    <cellStyle name="Normal 9 2 9" xfId="2221" xr:uid="{00000000-0005-0000-0000-0000A41F0000}"/>
    <cellStyle name="Normal 9 2 9 2" xfId="4450" xr:uid="{00000000-0005-0000-0000-0000A51F0000}"/>
    <cellStyle name="Normal 9 2 9 2 2" xfId="8673" xr:uid="{00000000-0005-0000-0000-0000A61F0000}"/>
    <cellStyle name="Normal 9 2 9 2 2 2" xfId="17112" xr:uid="{B78FF782-2CB4-404D-818D-3C076E5005E4}"/>
    <cellStyle name="Normal 9 2 9 2 3" xfId="12894" xr:uid="{A3A08D45-95F0-495A-88A2-8CA00898D682}"/>
    <cellStyle name="Normal 9 2 9 3" xfId="6528" xr:uid="{00000000-0005-0000-0000-0000A71F0000}"/>
    <cellStyle name="Normal 9 2 9 3 2" xfId="14967" xr:uid="{9B3BEB2B-D3B9-423C-B65D-A902FE151FE3}"/>
    <cellStyle name="Normal 9 2 9 4" xfId="10749" xr:uid="{B1989147-933A-48B6-AEE9-DBD000E63F37}"/>
    <cellStyle name="Normal 9 3" xfId="527" xr:uid="{00000000-0005-0000-0000-0000A81F0000}"/>
    <cellStyle name="Normal 9 3 10" xfId="4892" xr:uid="{00000000-0005-0000-0000-0000A91F0000}"/>
    <cellStyle name="Normal 9 3 10 2" xfId="13331" xr:uid="{8DFBAE73-86C1-4315-BCED-3A103B29EFEE}"/>
    <cellStyle name="Normal 9 3 11" xfId="9113" xr:uid="{F353D9E8-E0AA-4A26-A5ED-5F3D82111AC4}"/>
    <cellStyle name="Normal 9 3 2" xfId="528" xr:uid="{00000000-0005-0000-0000-0000AA1F0000}"/>
    <cellStyle name="Normal 9 3 2 10" xfId="9114" xr:uid="{0BC6113F-0191-49F2-ACA5-B7B81F5935B8}"/>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2590B287-DED8-4F76-889A-D893A6A483AC}"/>
    <cellStyle name="Normal 9 3 2 2 2 2 2 3" xfId="11674" xr:uid="{2868AD4D-0906-4BB4-98A7-7655D6DE1130}"/>
    <cellStyle name="Normal 9 3 2 2 2 2 3" xfId="5308" xr:uid="{00000000-0005-0000-0000-0000B01F0000}"/>
    <cellStyle name="Normal 9 3 2 2 2 2 3 2" xfId="13747" xr:uid="{8A274378-81B1-4BDF-B061-C5FCA24C8D3E}"/>
    <cellStyle name="Normal 9 3 2 2 2 2 4" xfId="9529" xr:uid="{4405FEA7-AC5C-44EB-93D4-D90E62F9A972}"/>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0426AFFD-58F9-45B8-A66E-AB13BEC1C498}"/>
    <cellStyle name="Normal 9 3 2 2 2 3 2 3" xfId="12087" xr:uid="{1EB9784B-5750-4EDB-A44F-481805C23F71}"/>
    <cellStyle name="Normal 9 3 2 2 2 3 3" xfId="5721" xr:uid="{00000000-0005-0000-0000-0000B41F0000}"/>
    <cellStyle name="Normal 9 3 2 2 2 3 3 2" xfId="14160" xr:uid="{90104C3F-D09C-4962-9D3E-0FA6A098593E}"/>
    <cellStyle name="Normal 9 3 2 2 2 3 4" xfId="9942" xr:uid="{6E9530EB-E23D-4B46-9AF1-8C44431D4DED}"/>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4DA5EA5B-2938-4900-971E-31F215141FB6}"/>
    <cellStyle name="Normal 9 3 2 2 2 4 2 3" xfId="12500" xr:uid="{CE0E091C-6463-47D1-BE35-4484D3893829}"/>
    <cellStyle name="Normal 9 3 2 2 2 4 3" xfId="6134" xr:uid="{00000000-0005-0000-0000-0000B81F0000}"/>
    <cellStyle name="Normal 9 3 2 2 2 4 3 2" xfId="14573" xr:uid="{4CC67F65-8985-4A9B-937A-60838BBDC066}"/>
    <cellStyle name="Normal 9 3 2 2 2 4 4" xfId="10355" xr:uid="{63AFAB18-DBD3-4755-B94A-3739A2E52916}"/>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A80F2A0E-F2E2-4233-AECE-CA78ECA8C08B}"/>
    <cellStyle name="Normal 9 3 2 2 2 5 2 3" xfId="12913" xr:uid="{F4EC1DD3-DC9C-4856-8CB2-5DC75AF717B9}"/>
    <cellStyle name="Normal 9 3 2 2 2 5 3" xfId="6547" xr:uid="{00000000-0005-0000-0000-0000BC1F0000}"/>
    <cellStyle name="Normal 9 3 2 2 2 5 3 2" xfId="14986" xr:uid="{95E701E4-921B-4B0B-92A7-FBD2D1423BF3}"/>
    <cellStyle name="Normal 9 3 2 2 2 5 4" xfId="10768" xr:uid="{F6C414F3-D0CC-4930-8DC0-FAD1143EA205}"/>
    <cellStyle name="Normal 9 3 2 2 2 6" xfId="2676" xr:uid="{00000000-0005-0000-0000-0000BD1F0000}"/>
    <cellStyle name="Normal 9 3 2 2 2 6 2" xfId="6960" xr:uid="{00000000-0005-0000-0000-0000BE1F0000}"/>
    <cellStyle name="Normal 9 3 2 2 2 6 2 2" xfId="15399" xr:uid="{2B66970D-0B29-4F60-9EA0-A0B4CCDD2BEB}"/>
    <cellStyle name="Normal 9 3 2 2 2 6 3" xfId="11181" xr:uid="{835E7818-E10D-4A99-967E-911D4AFAAFDE}"/>
    <cellStyle name="Normal 9 3 2 2 2 7" xfId="4895" xr:uid="{00000000-0005-0000-0000-0000BF1F0000}"/>
    <cellStyle name="Normal 9 3 2 2 2 7 2" xfId="13334" xr:uid="{AF11BEED-BF42-493B-94FD-5FBAF1B230B2}"/>
    <cellStyle name="Normal 9 3 2 2 2 8" xfId="9116" xr:uid="{241F1FF0-4456-4052-B7F3-2B99621C58DE}"/>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F02371CB-D1A0-4030-A313-F5767E4008E3}"/>
    <cellStyle name="Normal 9 3 2 2 3 2 3" xfId="11673" xr:uid="{826B15F3-D62A-46F0-9C3D-CBC9F725E59D}"/>
    <cellStyle name="Normal 9 3 2 2 3 3" xfId="5307" xr:uid="{00000000-0005-0000-0000-0000C31F0000}"/>
    <cellStyle name="Normal 9 3 2 2 3 3 2" xfId="13746" xr:uid="{E060078A-DFD0-4875-A7D3-42B2710C623E}"/>
    <cellStyle name="Normal 9 3 2 2 3 4" xfId="9528" xr:uid="{17E5A592-3992-494D-B4A8-69F87762C879}"/>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89F93359-5B9B-477C-B7FD-1C02F08C1E2D}"/>
    <cellStyle name="Normal 9 3 2 2 4 2 3" xfId="12086" xr:uid="{7654E54F-7C26-433F-9D4B-2F08C918AA99}"/>
    <cellStyle name="Normal 9 3 2 2 4 3" xfId="5720" xr:uid="{00000000-0005-0000-0000-0000C71F0000}"/>
    <cellStyle name="Normal 9 3 2 2 4 3 2" xfId="14159" xr:uid="{3F41C925-42EF-4F04-8FEB-9986E1EF026E}"/>
    <cellStyle name="Normal 9 3 2 2 4 4" xfId="9941" xr:uid="{09FE135C-FF1E-46E2-8633-2DF19E6F4B2F}"/>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9F362C68-5111-48CD-A2D7-5FDE3072E74D}"/>
    <cellStyle name="Normal 9 3 2 2 5 2 3" xfId="12499" xr:uid="{1F7F14C6-91DC-46E2-A7CE-C01629656A1D}"/>
    <cellStyle name="Normal 9 3 2 2 5 3" xfId="6133" xr:uid="{00000000-0005-0000-0000-0000CB1F0000}"/>
    <cellStyle name="Normal 9 3 2 2 5 3 2" xfId="14572" xr:uid="{EA6B45EF-1AE6-4273-BE1F-634AAC75F57F}"/>
    <cellStyle name="Normal 9 3 2 2 5 4" xfId="10354" xr:uid="{961D67BA-F4F6-4141-8244-A13D43451B39}"/>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88667663-6C47-4565-9FF9-D79CDAD6C641}"/>
    <cellStyle name="Normal 9 3 2 2 6 2 3" xfId="12912" xr:uid="{A9FA2A25-35DE-4135-A322-D6DC31961F79}"/>
    <cellStyle name="Normal 9 3 2 2 6 3" xfId="6546" xr:uid="{00000000-0005-0000-0000-0000CF1F0000}"/>
    <cellStyle name="Normal 9 3 2 2 6 3 2" xfId="14985" xr:uid="{31FC209C-B97B-4983-8C9D-5673DA46E1F5}"/>
    <cellStyle name="Normal 9 3 2 2 6 4" xfId="10767" xr:uid="{66062290-DA95-4804-9250-193774775B53}"/>
    <cellStyle name="Normal 9 3 2 2 7" xfId="2675" xr:uid="{00000000-0005-0000-0000-0000D01F0000}"/>
    <cellStyle name="Normal 9 3 2 2 7 2" xfId="6959" xr:uid="{00000000-0005-0000-0000-0000D11F0000}"/>
    <cellStyle name="Normal 9 3 2 2 7 2 2" xfId="15398" xr:uid="{784FA21B-B034-4273-A544-1FC6571DD87A}"/>
    <cellStyle name="Normal 9 3 2 2 7 3" xfId="11180" xr:uid="{1523C4D1-9E27-4688-809B-C621ED349847}"/>
    <cellStyle name="Normal 9 3 2 2 8" xfId="4894" xr:uid="{00000000-0005-0000-0000-0000D21F0000}"/>
    <cellStyle name="Normal 9 3 2 2 8 2" xfId="13333" xr:uid="{A799D236-812E-491F-9D60-7F03A92F5C8A}"/>
    <cellStyle name="Normal 9 3 2 2 9" xfId="9115" xr:uid="{822A3C7C-8AF5-4493-8AFA-0D1E308C96CA}"/>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6E89B264-52EC-4198-8DE6-E7D6B2B0858A}"/>
    <cellStyle name="Normal 9 3 2 3 2 2 3" xfId="11675" xr:uid="{70A6DBF1-EFCD-4DF3-80ED-CD1F1EA4A5D5}"/>
    <cellStyle name="Normal 9 3 2 3 2 3" xfId="5309" xr:uid="{00000000-0005-0000-0000-0000D71F0000}"/>
    <cellStyle name="Normal 9 3 2 3 2 3 2" xfId="13748" xr:uid="{60344109-0ECD-4FD6-B87C-6B25FE1E7829}"/>
    <cellStyle name="Normal 9 3 2 3 2 4" xfId="9530" xr:uid="{6CFA30EE-C05D-471A-8A04-95D806CE66A2}"/>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671A9934-69AA-41E2-8C7C-E472E7A59AD0}"/>
    <cellStyle name="Normal 9 3 2 3 3 2 3" xfId="12088" xr:uid="{C4B1CB14-0577-4778-9330-42C6589F40DC}"/>
    <cellStyle name="Normal 9 3 2 3 3 3" xfId="5722" xr:uid="{00000000-0005-0000-0000-0000DB1F0000}"/>
    <cellStyle name="Normal 9 3 2 3 3 3 2" xfId="14161" xr:uid="{F192656E-B604-455D-A9C1-833110F5299E}"/>
    <cellStyle name="Normal 9 3 2 3 3 4" xfId="9943" xr:uid="{3A83748E-C58E-4230-A57B-7B64EA9556F8}"/>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FF62CA09-847D-4C20-8B6A-F36AD181C819}"/>
    <cellStyle name="Normal 9 3 2 3 4 2 3" xfId="12501" xr:uid="{445DA0D8-E09B-43D9-B58B-3E0A5CDA0419}"/>
    <cellStyle name="Normal 9 3 2 3 4 3" xfId="6135" xr:uid="{00000000-0005-0000-0000-0000DF1F0000}"/>
    <cellStyle name="Normal 9 3 2 3 4 3 2" xfId="14574" xr:uid="{65E9177C-3103-4828-9B81-756768EF15E1}"/>
    <cellStyle name="Normal 9 3 2 3 4 4" xfId="10356" xr:uid="{F23A6668-1567-4F17-B29F-7A160222F9EF}"/>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BFDBC101-9FD1-4585-8813-923D9552E612}"/>
    <cellStyle name="Normal 9 3 2 3 5 2 3" xfId="12914" xr:uid="{6A15F728-AEA1-4914-8A28-9D57EC74B1C5}"/>
    <cellStyle name="Normal 9 3 2 3 5 3" xfId="6548" xr:uid="{00000000-0005-0000-0000-0000E31F0000}"/>
    <cellStyle name="Normal 9 3 2 3 5 3 2" xfId="14987" xr:uid="{C8900695-4DED-4604-BB6C-231F93B19429}"/>
    <cellStyle name="Normal 9 3 2 3 5 4" xfId="10769" xr:uid="{4313A135-7BF9-4C73-A372-FAAECE21B334}"/>
    <cellStyle name="Normal 9 3 2 3 6" xfId="2677" xr:uid="{00000000-0005-0000-0000-0000E41F0000}"/>
    <cellStyle name="Normal 9 3 2 3 6 2" xfId="6961" xr:uid="{00000000-0005-0000-0000-0000E51F0000}"/>
    <cellStyle name="Normal 9 3 2 3 6 2 2" xfId="15400" xr:uid="{40CEAB6F-D8C7-45F0-9966-C537D471E2C2}"/>
    <cellStyle name="Normal 9 3 2 3 6 3" xfId="11182" xr:uid="{56C8A3B4-3592-44E5-879F-2C00A55D7029}"/>
    <cellStyle name="Normal 9 3 2 3 7" xfId="4896" xr:uid="{00000000-0005-0000-0000-0000E61F0000}"/>
    <cellStyle name="Normal 9 3 2 3 7 2" xfId="13335" xr:uid="{FC627061-5551-4D17-AE91-CA988037DE2A}"/>
    <cellStyle name="Normal 9 3 2 3 8" xfId="9117" xr:uid="{2B6D349C-C2F4-40E5-8275-0641B235C9B4}"/>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1836D319-586F-4ED8-A086-03B3C7FE0AC3}"/>
    <cellStyle name="Normal 9 3 2 4 2 3" xfId="11672" xr:uid="{1C8B1FCE-96E6-4B9D-AB64-982D72493FDB}"/>
    <cellStyle name="Normal 9 3 2 4 3" xfId="5306" xr:uid="{00000000-0005-0000-0000-0000EA1F0000}"/>
    <cellStyle name="Normal 9 3 2 4 3 2" xfId="13745" xr:uid="{5ADE5DD7-117F-4CB1-9C98-E20BD0265530}"/>
    <cellStyle name="Normal 9 3 2 4 4" xfId="9527" xr:uid="{7EB4AD72-C1AC-46EE-A7B2-C39B18F6483B}"/>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8D896760-4671-4890-8798-FD166604ACA9}"/>
    <cellStyle name="Normal 9 3 2 5 2 3" xfId="12085" xr:uid="{DE2521F0-7E13-4EEE-B0F9-D0317D1D05FC}"/>
    <cellStyle name="Normal 9 3 2 5 3" xfId="5719" xr:uid="{00000000-0005-0000-0000-0000EE1F0000}"/>
    <cellStyle name="Normal 9 3 2 5 3 2" xfId="14158" xr:uid="{B696A22B-F73F-4253-9E04-2DB1C36D46D3}"/>
    <cellStyle name="Normal 9 3 2 5 4" xfId="9940" xr:uid="{B22FDFC3-E3A3-48B1-8F51-48CBAD38245A}"/>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91C64FAB-149A-4813-B804-413805554F1C}"/>
    <cellStyle name="Normal 9 3 2 6 2 3" xfId="12498" xr:uid="{5FA75592-505F-440E-B4E2-C1132B655EA4}"/>
    <cellStyle name="Normal 9 3 2 6 3" xfId="6132" xr:uid="{00000000-0005-0000-0000-0000F21F0000}"/>
    <cellStyle name="Normal 9 3 2 6 3 2" xfId="14571" xr:uid="{9B6DDFC3-A95C-4916-BA27-888D4797E7CB}"/>
    <cellStyle name="Normal 9 3 2 6 4" xfId="10353" xr:uid="{3030B942-EA73-474D-A66C-2319EEFE518B}"/>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B82CE0D8-FF83-4179-A3E5-51653ADD4675}"/>
    <cellStyle name="Normal 9 3 2 7 2 3" xfId="12911" xr:uid="{2AE4CFDE-E8B2-462A-9FAA-D6B2CA063E44}"/>
    <cellStyle name="Normal 9 3 2 7 3" xfId="6545" xr:uid="{00000000-0005-0000-0000-0000F61F0000}"/>
    <cellStyle name="Normal 9 3 2 7 3 2" xfId="14984" xr:uid="{5B32E364-E320-465D-8C0B-BAA8F8DEB62D}"/>
    <cellStyle name="Normal 9 3 2 7 4" xfId="10766" xr:uid="{CE563C39-DFC4-496F-9FD2-318D2953EBA9}"/>
    <cellStyle name="Normal 9 3 2 8" xfId="2674" xr:uid="{00000000-0005-0000-0000-0000F71F0000}"/>
    <cellStyle name="Normal 9 3 2 8 2" xfId="6958" xr:uid="{00000000-0005-0000-0000-0000F81F0000}"/>
    <cellStyle name="Normal 9 3 2 8 2 2" xfId="15397" xr:uid="{BD2B0B49-ACC8-412E-B6A6-53A0E71B93E7}"/>
    <cellStyle name="Normal 9 3 2 8 3" xfId="11179" xr:uid="{580D1593-35C8-4604-BE64-4919F2F7FBFA}"/>
    <cellStyle name="Normal 9 3 2 9" xfId="4893" xr:uid="{00000000-0005-0000-0000-0000F91F0000}"/>
    <cellStyle name="Normal 9 3 2 9 2" xfId="13332" xr:uid="{26D853FD-1DDD-467D-8C29-29E91E24D4D8}"/>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E4D748B9-65DC-4D97-9051-CE515CCC30CF}"/>
    <cellStyle name="Normal 9 3 3 2 2 2 3" xfId="11677" xr:uid="{363BF1BD-7FE3-4CB9-A360-0484983B7918}"/>
    <cellStyle name="Normal 9 3 3 2 2 3" xfId="5311" xr:uid="{00000000-0005-0000-0000-0000FF1F0000}"/>
    <cellStyle name="Normal 9 3 3 2 2 3 2" xfId="13750" xr:uid="{C396BF7A-F18E-47FD-B77C-F6B8D9391E88}"/>
    <cellStyle name="Normal 9 3 3 2 2 4" xfId="9532" xr:uid="{C749714E-808D-4270-AC60-C9A9AF7FD66A}"/>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0774D2BD-68B8-4992-BC13-26A71CCD24E6}"/>
    <cellStyle name="Normal 9 3 3 2 3 2 3" xfId="12090" xr:uid="{80FC0100-17CC-4391-8DB4-C86969853CF8}"/>
    <cellStyle name="Normal 9 3 3 2 3 3" xfId="5724" xr:uid="{00000000-0005-0000-0000-000003200000}"/>
    <cellStyle name="Normal 9 3 3 2 3 3 2" xfId="14163" xr:uid="{3B6E1E07-4020-4416-AEF7-743D7E60C06D}"/>
    <cellStyle name="Normal 9 3 3 2 3 4" xfId="9945" xr:uid="{0E8CE5C9-F424-4EC6-B420-556CEE894525}"/>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19336136-7884-4FA4-A2DB-33EBD1DDB429}"/>
    <cellStyle name="Normal 9 3 3 2 4 2 3" xfId="12503" xr:uid="{92780238-DE79-48A2-B02D-873EC28F2D78}"/>
    <cellStyle name="Normal 9 3 3 2 4 3" xfId="6137" xr:uid="{00000000-0005-0000-0000-000007200000}"/>
    <cellStyle name="Normal 9 3 3 2 4 3 2" xfId="14576" xr:uid="{09F2F599-6CDD-43A6-A001-03BC1125FBE6}"/>
    <cellStyle name="Normal 9 3 3 2 4 4" xfId="10358" xr:uid="{9018410C-809E-4822-B891-EB85E0935FFB}"/>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81B96A08-277E-4F5C-9F09-DB0DEC3C3C54}"/>
    <cellStyle name="Normal 9 3 3 2 5 2 3" xfId="12916" xr:uid="{7F84372D-D8CB-4FAC-9B43-CDF833EAADF1}"/>
    <cellStyle name="Normal 9 3 3 2 5 3" xfId="6550" xr:uid="{00000000-0005-0000-0000-00000B200000}"/>
    <cellStyle name="Normal 9 3 3 2 5 3 2" xfId="14989" xr:uid="{3D01930F-D452-4C31-AD31-9D4239C95A76}"/>
    <cellStyle name="Normal 9 3 3 2 5 4" xfId="10771" xr:uid="{467CD406-EED3-485A-B5F6-4C281E865BA6}"/>
    <cellStyle name="Normal 9 3 3 2 6" xfId="2679" xr:uid="{00000000-0005-0000-0000-00000C200000}"/>
    <cellStyle name="Normal 9 3 3 2 6 2" xfId="6963" xr:uid="{00000000-0005-0000-0000-00000D200000}"/>
    <cellStyle name="Normal 9 3 3 2 6 2 2" xfId="15402" xr:uid="{7CFE8F25-1973-46B1-806F-26A1DE6970EB}"/>
    <cellStyle name="Normal 9 3 3 2 6 3" xfId="11184" xr:uid="{33E8C35B-4BC6-446C-9BCC-98F7A6826EBA}"/>
    <cellStyle name="Normal 9 3 3 2 7" xfId="4898" xr:uid="{00000000-0005-0000-0000-00000E200000}"/>
    <cellStyle name="Normal 9 3 3 2 7 2" xfId="13337" xr:uid="{407A8E90-DD8C-4868-8CF5-E53F4FFBB53A}"/>
    <cellStyle name="Normal 9 3 3 2 8" xfId="9119" xr:uid="{99C94B59-3543-4C39-8276-AA02E6DF5E0C}"/>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506BD18D-8550-4CA6-823F-74FBEDFDEC88}"/>
    <cellStyle name="Normal 9 3 3 3 2 3" xfId="11676" xr:uid="{117DD9DB-3BE6-4316-9CD7-428449307E19}"/>
    <cellStyle name="Normal 9 3 3 3 3" xfId="5310" xr:uid="{00000000-0005-0000-0000-000012200000}"/>
    <cellStyle name="Normal 9 3 3 3 3 2" xfId="13749" xr:uid="{4746E895-FCEE-4B2D-81C6-1A6C65109835}"/>
    <cellStyle name="Normal 9 3 3 3 4" xfId="9531" xr:uid="{050F76BC-370E-43FF-81C1-0BE95432359B}"/>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08227B13-2B20-42D7-B27A-E9CFAEBF7702}"/>
    <cellStyle name="Normal 9 3 3 4 2 3" xfId="12089" xr:uid="{28103EC6-E773-4DB3-943B-7C6C91A26060}"/>
    <cellStyle name="Normal 9 3 3 4 3" xfId="5723" xr:uid="{00000000-0005-0000-0000-000016200000}"/>
    <cellStyle name="Normal 9 3 3 4 3 2" xfId="14162" xr:uid="{5E79F090-0BA5-4C15-9C59-27AA7F83C59E}"/>
    <cellStyle name="Normal 9 3 3 4 4" xfId="9944" xr:uid="{A45AC9DE-7BC0-4FE3-BB53-2450BCAE7FE9}"/>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BCEA3C5C-F859-411D-8775-F7AE8C0D1F3D}"/>
    <cellStyle name="Normal 9 3 3 5 2 3" xfId="12502" xr:uid="{AA195747-1605-4C9F-9606-094C7F92D2BC}"/>
    <cellStyle name="Normal 9 3 3 5 3" xfId="6136" xr:uid="{00000000-0005-0000-0000-00001A200000}"/>
    <cellStyle name="Normal 9 3 3 5 3 2" xfId="14575" xr:uid="{3F9C4028-E099-487B-A560-88CEDA4D6332}"/>
    <cellStyle name="Normal 9 3 3 5 4" xfId="10357" xr:uid="{4E3B90D6-C484-485D-82BB-6BD75C542410}"/>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20B998F2-95B9-4860-A9BF-BE5F8A07BD8F}"/>
    <cellStyle name="Normal 9 3 3 6 2 3" xfId="12915" xr:uid="{E5F6BBD1-B8FB-4AAB-8852-B1C224047F0F}"/>
    <cellStyle name="Normal 9 3 3 6 3" xfId="6549" xr:uid="{00000000-0005-0000-0000-00001E200000}"/>
    <cellStyle name="Normal 9 3 3 6 3 2" xfId="14988" xr:uid="{204068DB-FF8F-46B5-9E69-BBABAFA60C30}"/>
    <cellStyle name="Normal 9 3 3 6 4" xfId="10770" xr:uid="{B20A78B6-4D46-401C-B69E-6A8C27F6C98E}"/>
    <cellStyle name="Normal 9 3 3 7" xfId="2678" xr:uid="{00000000-0005-0000-0000-00001F200000}"/>
    <cellStyle name="Normal 9 3 3 7 2" xfId="6962" xr:uid="{00000000-0005-0000-0000-000020200000}"/>
    <cellStyle name="Normal 9 3 3 7 2 2" xfId="15401" xr:uid="{4D6CBDB7-CA13-4D73-B4A7-008FFD61F632}"/>
    <cellStyle name="Normal 9 3 3 7 3" xfId="11183" xr:uid="{3E291C0B-D0FE-4E7D-986C-DDDB8B660315}"/>
    <cellStyle name="Normal 9 3 3 8" xfId="4897" xr:uid="{00000000-0005-0000-0000-000021200000}"/>
    <cellStyle name="Normal 9 3 3 8 2" xfId="13336" xr:uid="{A081453D-AD99-4169-9D76-A420ADD9A0ED}"/>
    <cellStyle name="Normal 9 3 3 9" xfId="9118" xr:uid="{4BE95D58-971C-4FF7-943B-AC904F30B7B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01E7595B-DA81-4D9A-93BB-0BFBA4A13DEF}"/>
    <cellStyle name="Normal 9 3 4 2 2 3" xfId="11678" xr:uid="{485549D4-56B8-4415-AF9C-7983E1644880}"/>
    <cellStyle name="Normal 9 3 4 2 3" xfId="5312" xr:uid="{00000000-0005-0000-0000-000026200000}"/>
    <cellStyle name="Normal 9 3 4 2 3 2" xfId="13751" xr:uid="{0614F56C-CF15-4407-867C-CB70F971D61A}"/>
    <cellStyle name="Normal 9 3 4 2 4" xfId="9533" xr:uid="{49C14FEE-1CD0-4EE6-9E32-3A38A5FE28A1}"/>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EAADD588-393F-4D31-AF41-DA4C03D471A3}"/>
    <cellStyle name="Normal 9 3 4 3 2 3" xfId="12091" xr:uid="{2B81676B-71EA-4CE6-98CC-06FE04D7DBBF}"/>
    <cellStyle name="Normal 9 3 4 3 3" xfId="5725" xr:uid="{00000000-0005-0000-0000-00002A200000}"/>
    <cellStyle name="Normal 9 3 4 3 3 2" xfId="14164" xr:uid="{0C0FA02B-389C-441C-9C25-A45E355FA515}"/>
    <cellStyle name="Normal 9 3 4 3 4" xfId="9946" xr:uid="{E47429B0-1C5B-4374-BE83-55078A4BEE22}"/>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322069F3-313B-4016-A0B4-859637EAF817}"/>
    <cellStyle name="Normal 9 3 4 4 2 3" xfId="12504" xr:uid="{F2EC763E-8AEF-411B-B993-F9437CA47198}"/>
    <cellStyle name="Normal 9 3 4 4 3" xfId="6138" xr:uid="{00000000-0005-0000-0000-00002E200000}"/>
    <cellStyle name="Normal 9 3 4 4 3 2" xfId="14577" xr:uid="{4FB8258D-DFFA-4880-AAD4-B9202801B656}"/>
    <cellStyle name="Normal 9 3 4 4 4" xfId="10359" xr:uid="{70D6269F-2BCC-4E16-AB3E-2719B5B9D5D0}"/>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A69FB150-4541-4306-9811-2F6366BFFF7A}"/>
    <cellStyle name="Normal 9 3 4 5 2 3" xfId="12917" xr:uid="{5980937F-1023-4BAD-8BF7-B37F77903956}"/>
    <cellStyle name="Normal 9 3 4 5 3" xfId="6551" xr:uid="{00000000-0005-0000-0000-000032200000}"/>
    <cellStyle name="Normal 9 3 4 5 3 2" xfId="14990" xr:uid="{E2392D14-0BAF-4AB5-BBB8-E0434AF69C7B}"/>
    <cellStyle name="Normal 9 3 4 5 4" xfId="10772" xr:uid="{51B04F1B-2D47-4C27-AADF-A5D8E0E71C89}"/>
    <cellStyle name="Normal 9 3 4 6" xfId="2680" xr:uid="{00000000-0005-0000-0000-000033200000}"/>
    <cellStyle name="Normal 9 3 4 6 2" xfId="6964" xr:uid="{00000000-0005-0000-0000-000034200000}"/>
    <cellStyle name="Normal 9 3 4 6 2 2" xfId="15403" xr:uid="{A0F7BC9C-0490-4237-83BD-9B252BF039DD}"/>
    <cellStyle name="Normal 9 3 4 6 3" xfId="11185" xr:uid="{4D2DCA54-7788-4D1A-97A1-C839555F4AC6}"/>
    <cellStyle name="Normal 9 3 4 7" xfId="4899" xr:uid="{00000000-0005-0000-0000-000035200000}"/>
    <cellStyle name="Normal 9 3 4 7 2" xfId="13338" xr:uid="{78ACA43A-CF57-4A62-B385-056316A879B0}"/>
    <cellStyle name="Normal 9 3 4 8" xfId="9120" xr:uid="{C78104C8-EC5B-4748-B127-9A8230958BB0}"/>
    <cellStyle name="Normal 9 3 5" xfId="994" xr:uid="{00000000-0005-0000-0000-000036200000}"/>
    <cellStyle name="Normal 9 3 5 2" xfId="3227" xr:uid="{00000000-0005-0000-0000-000037200000}"/>
    <cellStyle name="Normal 9 3 5 2 2" xfId="7450" xr:uid="{00000000-0005-0000-0000-000038200000}"/>
    <cellStyle name="Normal 9 3 5 2 2 2" xfId="15889" xr:uid="{102CC232-6887-4083-A53D-27F32636F065}"/>
    <cellStyle name="Normal 9 3 5 2 3" xfId="11671" xr:uid="{8FE45AE7-7CA0-4474-BC8B-03712F2973DA}"/>
    <cellStyle name="Normal 9 3 5 3" xfId="5305" xr:uid="{00000000-0005-0000-0000-000039200000}"/>
    <cellStyle name="Normal 9 3 5 3 2" xfId="13744" xr:uid="{5F3533CC-D39A-4331-AC0D-0141198A65F5}"/>
    <cellStyle name="Normal 9 3 5 4" xfId="9526" xr:uid="{CBA1AE20-6584-4CFC-B592-BBBEC2635979}"/>
    <cellStyle name="Normal 9 3 6" xfId="1410" xr:uid="{00000000-0005-0000-0000-00003A200000}"/>
    <cellStyle name="Normal 9 3 6 2" xfId="3640" xr:uid="{00000000-0005-0000-0000-00003B200000}"/>
    <cellStyle name="Normal 9 3 6 2 2" xfId="7863" xr:uid="{00000000-0005-0000-0000-00003C200000}"/>
    <cellStyle name="Normal 9 3 6 2 2 2" xfId="16302" xr:uid="{45C8C70C-CFF5-4AFF-8D57-A606A2B4CC51}"/>
    <cellStyle name="Normal 9 3 6 2 3" xfId="12084" xr:uid="{3EC1A41D-848A-4998-9E8A-491398BDEC9F}"/>
    <cellStyle name="Normal 9 3 6 3" xfId="5718" xr:uid="{00000000-0005-0000-0000-00003D200000}"/>
    <cellStyle name="Normal 9 3 6 3 2" xfId="14157" xr:uid="{6BBA389B-C0F1-47C5-912A-28068F30CAD2}"/>
    <cellStyle name="Normal 9 3 6 4" xfId="9939" xr:uid="{AE884CD7-F7D8-4F5A-9597-BCB4A3D955D0}"/>
    <cellStyle name="Normal 9 3 7" xfId="1823" xr:uid="{00000000-0005-0000-0000-00003E200000}"/>
    <cellStyle name="Normal 9 3 7 2" xfId="4053" xr:uid="{00000000-0005-0000-0000-00003F200000}"/>
    <cellStyle name="Normal 9 3 7 2 2" xfId="8276" xr:uid="{00000000-0005-0000-0000-000040200000}"/>
    <cellStyle name="Normal 9 3 7 2 2 2" xfId="16715" xr:uid="{49E3BC46-6F0F-41DD-90BF-4DAB64F22155}"/>
    <cellStyle name="Normal 9 3 7 2 3" xfId="12497" xr:uid="{B4C24ACB-D7DB-46D6-A5EC-C6A554E96C80}"/>
    <cellStyle name="Normal 9 3 7 3" xfId="6131" xr:uid="{00000000-0005-0000-0000-000041200000}"/>
    <cellStyle name="Normal 9 3 7 3 2" xfId="14570" xr:uid="{4A34D50F-8C61-4834-96CB-471466912FDD}"/>
    <cellStyle name="Normal 9 3 7 4" xfId="10352" xr:uid="{DAEF18D7-5D8E-45FD-AC27-0C94D63ED6D2}"/>
    <cellStyle name="Normal 9 3 8" xfId="2237" xr:uid="{00000000-0005-0000-0000-000042200000}"/>
    <cellStyle name="Normal 9 3 8 2" xfId="4466" xr:uid="{00000000-0005-0000-0000-000043200000}"/>
    <cellStyle name="Normal 9 3 8 2 2" xfId="8689" xr:uid="{00000000-0005-0000-0000-000044200000}"/>
    <cellStyle name="Normal 9 3 8 2 2 2" xfId="17128" xr:uid="{C67AE4FB-5D2F-4082-AC3C-75026D13AF78}"/>
    <cellStyle name="Normal 9 3 8 2 3" xfId="12910" xr:uid="{D4BAB389-E2B0-48C5-BEA7-93C5F9008027}"/>
    <cellStyle name="Normal 9 3 8 3" xfId="6544" xr:uid="{00000000-0005-0000-0000-000045200000}"/>
    <cellStyle name="Normal 9 3 8 3 2" xfId="14983" xr:uid="{40E25C8E-C7BA-4804-B06B-86D6E98A6C1A}"/>
    <cellStyle name="Normal 9 3 8 4" xfId="10765" xr:uid="{40B43549-4181-4D9D-A0AE-7A23A9FD23B1}"/>
    <cellStyle name="Normal 9 3 9" xfId="2673" xr:uid="{00000000-0005-0000-0000-000046200000}"/>
    <cellStyle name="Normal 9 3 9 2" xfId="6957" xr:uid="{00000000-0005-0000-0000-000047200000}"/>
    <cellStyle name="Normal 9 3 9 2 2" xfId="15396" xr:uid="{0C925DEA-0E1C-4CCA-92B3-2908AF1370B2}"/>
    <cellStyle name="Normal 9 3 9 3" xfId="11178" xr:uid="{3A9E7704-55CB-4EDC-B68C-C8452546449C}"/>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22493C74-3F61-4FEB-8C1D-AC43F5B90589}"/>
    <cellStyle name="Normal 9 5 2 2 2 3" xfId="11680" xr:uid="{DC296E52-7743-4FD9-BA2C-C88F5BE5F6A0}"/>
    <cellStyle name="Normal 9 5 2 2 3" xfId="5314" xr:uid="{00000000-0005-0000-0000-00004F200000}"/>
    <cellStyle name="Normal 9 5 2 2 3 2" xfId="13753" xr:uid="{EE321DC8-C54A-4DAB-A060-AB3DFDBAB8EC}"/>
    <cellStyle name="Normal 9 5 2 2 4" xfId="9535" xr:uid="{6E7030B1-B58B-4217-AAB3-1F7E0BF0375B}"/>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32E6BA2F-96F5-4D1E-93B2-E38E835E94DA}"/>
    <cellStyle name="Normal 9 5 2 3 2 3" xfId="12093" xr:uid="{F7DE20F2-13D0-456F-A681-8977E98A73E9}"/>
    <cellStyle name="Normal 9 5 2 3 3" xfId="5727" xr:uid="{00000000-0005-0000-0000-000053200000}"/>
    <cellStyle name="Normal 9 5 2 3 3 2" xfId="14166" xr:uid="{7600322C-5CA1-493E-A85F-06EDEB990A2E}"/>
    <cellStyle name="Normal 9 5 2 3 4" xfId="9948" xr:uid="{1A290F26-3AC0-4EA3-AF8A-342C1C8A899E}"/>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5039960A-CFA1-41EB-B92C-CB8D81BDCAAA}"/>
    <cellStyle name="Normal 9 5 2 4 2 3" xfId="12506" xr:uid="{159DF8B4-8F23-4105-856E-E7D4A3F32295}"/>
    <cellStyle name="Normal 9 5 2 4 3" xfId="6140" xr:uid="{00000000-0005-0000-0000-000057200000}"/>
    <cellStyle name="Normal 9 5 2 4 3 2" xfId="14579" xr:uid="{713BD12C-C9DB-4D9C-AD23-4D873962FD56}"/>
    <cellStyle name="Normal 9 5 2 4 4" xfId="10361" xr:uid="{44B539C6-7FDA-4222-AF64-DCFF3A477B2E}"/>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F6AB7D64-A3C4-42FD-AFF2-20440029BFF9}"/>
    <cellStyle name="Normal 9 5 2 5 2 3" xfId="12919" xr:uid="{9D33CC0F-A8ED-4CE3-BA7C-BDA0AC4D4E81}"/>
    <cellStyle name="Normal 9 5 2 5 3" xfId="6553" xr:uid="{00000000-0005-0000-0000-00005B200000}"/>
    <cellStyle name="Normal 9 5 2 5 3 2" xfId="14992" xr:uid="{03C7E6C6-767D-407F-86DF-74913532D339}"/>
    <cellStyle name="Normal 9 5 2 5 4" xfId="10774" xr:uid="{8ACA4268-62E6-4BA7-8456-413CD7FF9FD3}"/>
    <cellStyle name="Normal 9 5 2 6" xfId="2682" xr:uid="{00000000-0005-0000-0000-00005C200000}"/>
    <cellStyle name="Normal 9 5 2 6 2" xfId="6966" xr:uid="{00000000-0005-0000-0000-00005D200000}"/>
    <cellStyle name="Normal 9 5 2 6 2 2" xfId="15405" xr:uid="{7BFC0E70-4546-4E7C-9043-8243BEA4764A}"/>
    <cellStyle name="Normal 9 5 2 6 3" xfId="11187" xr:uid="{7C6E919E-25C0-4FA7-B823-AFD5C8F9C8AE}"/>
    <cellStyle name="Normal 9 5 2 7" xfId="4901" xr:uid="{00000000-0005-0000-0000-00005E200000}"/>
    <cellStyle name="Normal 9 5 2 7 2" xfId="13340" xr:uid="{A0E8DF21-6B91-4A80-B8CC-3D9ECA4AC1D8}"/>
    <cellStyle name="Normal 9 5 2 8" xfId="9122" xr:uid="{0BB418D2-2771-441F-AD72-652A141811D8}"/>
    <cellStyle name="Normal 9 5 3" xfId="1003" xr:uid="{00000000-0005-0000-0000-00005F200000}"/>
    <cellStyle name="Normal 9 5 3 2" xfId="3235" xr:uid="{00000000-0005-0000-0000-000060200000}"/>
    <cellStyle name="Normal 9 5 3 2 2" xfId="7458" xr:uid="{00000000-0005-0000-0000-000061200000}"/>
    <cellStyle name="Normal 9 5 3 2 2 2" xfId="15897" xr:uid="{F36C5FC3-9F5E-4B6D-B15F-27141C743F54}"/>
    <cellStyle name="Normal 9 5 3 2 3" xfId="11679" xr:uid="{F53E03F0-954B-4740-AA50-CC247E15A310}"/>
    <cellStyle name="Normal 9 5 3 3" xfId="5313" xr:uid="{00000000-0005-0000-0000-000062200000}"/>
    <cellStyle name="Normal 9 5 3 3 2" xfId="13752" xr:uid="{24CD9247-5079-4D0A-9EC7-57CE6D43C973}"/>
    <cellStyle name="Normal 9 5 3 4" xfId="9534" xr:uid="{1477C1B2-9929-4E13-A030-0C4A9F6F0C0E}"/>
    <cellStyle name="Normal 9 5 4" xfId="1418" xr:uid="{00000000-0005-0000-0000-000063200000}"/>
    <cellStyle name="Normal 9 5 4 2" xfId="3648" xr:uid="{00000000-0005-0000-0000-000064200000}"/>
    <cellStyle name="Normal 9 5 4 2 2" xfId="7871" xr:uid="{00000000-0005-0000-0000-000065200000}"/>
    <cellStyle name="Normal 9 5 4 2 2 2" xfId="16310" xr:uid="{1EDEC0A5-40C1-4A59-BDF9-74D3369F6B00}"/>
    <cellStyle name="Normal 9 5 4 2 3" xfId="12092" xr:uid="{926C972B-AE77-4F65-A4EB-76BF729CF0A1}"/>
    <cellStyle name="Normal 9 5 4 3" xfId="5726" xr:uid="{00000000-0005-0000-0000-000066200000}"/>
    <cellStyle name="Normal 9 5 4 3 2" xfId="14165" xr:uid="{ECB69B47-EEF7-445F-A0F0-02B832BD59D8}"/>
    <cellStyle name="Normal 9 5 4 4" xfId="9947" xr:uid="{ADA1D98D-0285-468F-A194-78FB20CC10C6}"/>
    <cellStyle name="Normal 9 5 5" xfId="1831" xr:uid="{00000000-0005-0000-0000-000067200000}"/>
    <cellStyle name="Normal 9 5 5 2" xfId="4061" xr:uid="{00000000-0005-0000-0000-000068200000}"/>
    <cellStyle name="Normal 9 5 5 2 2" xfId="8284" xr:uid="{00000000-0005-0000-0000-000069200000}"/>
    <cellStyle name="Normal 9 5 5 2 2 2" xfId="16723" xr:uid="{6844589D-4D37-4693-BC9A-E89CD3BA933A}"/>
    <cellStyle name="Normal 9 5 5 2 3" xfId="12505" xr:uid="{D001BDC1-E1EE-49E3-B910-5B47DDDA1783}"/>
    <cellStyle name="Normal 9 5 5 3" xfId="6139" xr:uid="{00000000-0005-0000-0000-00006A200000}"/>
    <cellStyle name="Normal 9 5 5 3 2" xfId="14578" xr:uid="{34A1C445-2C8E-439F-B470-5DDC2E6177F8}"/>
    <cellStyle name="Normal 9 5 5 4" xfId="10360" xr:uid="{6AB43C4E-6979-4DBB-AF57-3984D66A6B8D}"/>
    <cellStyle name="Normal 9 5 6" xfId="2245" xr:uid="{00000000-0005-0000-0000-00006B200000}"/>
    <cellStyle name="Normal 9 5 6 2" xfId="4474" xr:uid="{00000000-0005-0000-0000-00006C200000}"/>
    <cellStyle name="Normal 9 5 6 2 2" xfId="8697" xr:uid="{00000000-0005-0000-0000-00006D200000}"/>
    <cellStyle name="Normal 9 5 6 2 2 2" xfId="17136" xr:uid="{7FFB733A-2DF3-420C-AE7C-79F4014047CC}"/>
    <cellStyle name="Normal 9 5 6 2 3" xfId="12918" xr:uid="{CA6783D9-E2A7-4318-B37E-FACDC11B507F}"/>
    <cellStyle name="Normal 9 5 6 3" xfId="6552" xr:uid="{00000000-0005-0000-0000-00006E200000}"/>
    <cellStyle name="Normal 9 5 6 3 2" xfId="14991" xr:uid="{48F4B6BC-0BC0-42E8-91E8-6E4C8E78D066}"/>
    <cellStyle name="Normal 9 5 6 4" xfId="10773" xr:uid="{7DD68E23-E43F-42FE-ABE2-E7E85186B117}"/>
    <cellStyle name="Normal 9 5 7" xfId="2681" xr:uid="{00000000-0005-0000-0000-00006F200000}"/>
    <cellStyle name="Normal 9 5 7 2" xfId="6965" xr:uid="{00000000-0005-0000-0000-000070200000}"/>
    <cellStyle name="Normal 9 5 7 2 2" xfId="15404" xr:uid="{D5F41F4E-66D0-4605-A059-689D8273D327}"/>
    <cellStyle name="Normal 9 5 7 3" xfId="11186" xr:uid="{6F683A16-468A-4BB4-AFD7-BC2DE4535D69}"/>
    <cellStyle name="Normal 9 5 8" xfId="4900" xr:uid="{00000000-0005-0000-0000-000071200000}"/>
    <cellStyle name="Normal 9 5 8 2" xfId="13339" xr:uid="{0A257816-12B3-4240-9026-003177E20319}"/>
    <cellStyle name="Normal 9 5 9" xfId="9121" xr:uid="{78585780-04A7-4922-9FF4-8D22A56BCA42}"/>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2425D25F-7B7A-484F-8713-C16C2DE695B7}"/>
    <cellStyle name="Normal 9 6 2 2 3" xfId="11681" xr:uid="{3DD62CDF-C4E8-41EE-9ED7-1FC17660925E}"/>
    <cellStyle name="Normal 9 6 2 3" xfId="5315" xr:uid="{00000000-0005-0000-0000-000076200000}"/>
    <cellStyle name="Normal 9 6 2 3 2" xfId="13754" xr:uid="{56F112B6-3D51-4133-AC3A-86093A23A8A9}"/>
    <cellStyle name="Normal 9 6 2 4" xfId="9536" xr:uid="{79099C12-DD5B-4F05-B9F3-45A23C0412D5}"/>
    <cellStyle name="Normal 9 6 3" xfId="1420" xr:uid="{00000000-0005-0000-0000-000077200000}"/>
    <cellStyle name="Normal 9 6 3 2" xfId="3650" xr:uid="{00000000-0005-0000-0000-000078200000}"/>
    <cellStyle name="Normal 9 6 3 2 2" xfId="7873" xr:uid="{00000000-0005-0000-0000-000079200000}"/>
    <cellStyle name="Normal 9 6 3 2 2 2" xfId="16312" xr:uid="{63D8B996-E933-448F-9834-4C6A85715BE7}"/>
    <cellStyle name="Normal 9 6 3 2 3" xfId="12094" xr:uid="{FC8366CD-21D1-4025-8036-71D74017091D}"/>
    <cellStyle name="Normal 9 6 3 3" xfId="5728" xr:uid="{00000000-0005-0000-0000-00007A200000}"/>
    <cellStyle name="Normal 9 6 3 3 2" xfId="14167" xr:uid="{09356787-AA89-4D82-814A-060FB2FC8439}"/>
    <cellStyle name="Normal 9 6 3 4" xfId="9949" xr:uid="{211FA0A6-9B8F-442E-BA22-DD58717BD061}"/>
    <cellStyle name="Normal 9 6 4" xfId="1833" xr:uid="{00000000-0005-0000-0000-00007B200000}"/>
    <cellStyle name="Normal 9 6 4 2" xfId="4063" xr:uid="{00000000-0005-0000-0000-00007C200000}"/>
    <cellStyle name="Normal 9 6 4 2 2" xfId="8286" xr:uid="{00000000-0005-0000-0000-00007D200000}"/>
    <cellStyle name="Normal 9 6 4 2 2 2" xfId="16725" xr:uid="{E202B551-5DB3-4CEA-8FAA-7244796A8B16}"/>
    <cellStyle name="Normal 9 6 4 2 3" xfId="12507" xr:uid="{9F4281A4-A9D9-42BB-88D3-03462FEB9201}"/>
    <cellStyle name="Normal 9 6 4 3" xfId="6141" xr:uid="{00000000-0005-0000-0000-00007E200000}"/>
    <cellStyle name="Normal 9 6 4 3 2" xfId="14580" xr:uid="{641B670F-2CB2-4C32-919F-4C6C452FFBDF}"/>
    <cellStyle name="Normal 9 6 4 4" xfId="10362" xr:uid="{2E3E613E-E676-466C-A843-AD35B6C92E4B}"/>
    <cellStyle name="Normal 9 6 5" xfId="2247" xr:uid="{00000000-0005-0000-0000-00007F200000}"/>
    <cellStyle name="Normal 9 6 5 2" xfId="4476" xr:uid="{00000000-0005-0000-0000-000080200000}"/>
    <cellStyle name="Normal 9 6 5 2 2" xfId="8699" xr:uid="{00000000-0005-0000-0000-000081200000}"/>
    <cellStyle name="Normal 9 6 5 2 2 2" xfId="17138" xr:uid="{29EF28C9-B58A-4755-8D18-4DE7A0E3BF77}"/>
    <cellStyle name="Normal 9 6 5 2 3" xfId="12920" xr:uid="{29EEBB57-F97F-46A5-BB6E-1DCF383D90ED}"/>
    <cellStyle name="Normal 9 6 5 3" xfId="6554" xr:uid="{00000000-0005-0000-0000-000082200000}"/>
    <cellStyle name="Normal 9 6 5 3 2" xfId="14993" xr:uid="{D474EA18-94A2-4950-9260-E8961F291A77}"/>
    <cellStyle name="Normal 9 6 5 4" xfId="10775" xr:uid="{736AFE92-FF1D-4BD6-BB21-ED1FEFB79001}"/>
    <cellStyle name="Normal 9 6 6" xfId="2683" xr:uid="{00000000-0005-0000-0000-000083200000}"/>
    <cellStyle name="Normal 9 6 6 2" xfId="6967" xr:uid="{00000000-0005-0000-0000-000084200000}"/>
    <cellStyle name="Normal 9 6 6 2 2" xfId="15406" xr:uid="{3209D51A-7FFD-4810-ACBE-04A9ED2185FF}"/>
    <cellStyle name="Normal 9 6 6 3" xfId="11188" xr:uid="{4DFB7D7F-1054-4DBF-95D6-B84FF52A6D21}"/>
    <cellStyle name="Normal 9 6 7" xfId="4902" xr:uid="{00000000-0005-0000-0000-000085200000}"/>
    <cellStyle name="Normal 9 6 7 2" xfId="13341" xr:uid="{6E1BAFFD-6177-472F-BC9E-A69F4776720F}"/>
    <cellStyle name="Normal 9 6 8" xfId="9123" xr:uid="{46D2FB66-B5B6-4FC2-963C-F14B44DB89E7}"/>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F62CEBB0-166A-4F1C-B6BD-9DC7A0080374}"/>
    <cellStyle name="Note 2 2 10 3" xfId="11269" xr:uid="{167DBA7A-55A3-49E2-A84E-02417ED9ADCB}"/>
    <cellStyle name="Note 2 2 11" xfId="4903" xr:uid="{00000000-0005-0000-0000-000094200000}"/>
    <cellStyle name="Note 2 2 11 2" xfId="13342" xr:uid="{8FBF25EC-1321-4EDF-B2F5-E947226E7E83}"/>
    <cellStyle name="Note 2 2 12" xfId="9124" xr:uid="{9B88F6B0-FAF1-45E1-9531-213D2B347C1C}"/>
    <cellStyle name="Note 2 2 2" xfId="546" xr:uid="{00000000-0005-0000-0000-000095200000}"/>
    <cellStyle name="Note 2 2 2 10" xfId="4904" xr:uid="{00000000-0005-0000-0000-000096200000}"/>
    <cellStyle name="Note 2 2 2 10 2" xfId="13343" xr:uid="{AD11CBCF-8070-441B-A92B-764084B052F4}"/>
    <cellStyle name="Note 2 2 2 11" xfId="9125" xr:uid="{40991F7E-FB35-475B-8AF2-ED6B878CB285}"/>
    <cellStyle name="Note 2 2 2 2" xfId="547" xr:uid="{00000000-0005-0000-0000-000097200000}"/>
    <cellStyle name="Note 2 2 2 2 10" xfId="9126" xr:uid="{C4C5F6C0-7CD7-420E-B824-6CC3594D12EE}"/>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8154E388-07F9-4B3B-A4DF-3FD3CAE91D8A}"/>
    <cellStyle name="Note 2 2 2 2 2 2 3" xfId="11684" xr:uid="{4499D735-6913-4EC8-9B4B-3D71DF939294}"/>
    <cellStyle name="Note 2 2 2 2 2 3" xfId="5318" xr:uid="{00000000-0005-0000-0000-00009B200000}"/>
    <cellStyle name="Note 2 2 2 2 2 3 2" xfId="13757" xr:uid="{1DFAF880-6795-49BA-A65D-DF35695848D5}"/>
    <cellStyle name="Note 2 2 2 2 2 4" xfId="9539" xr:uid="{05637F43-7706-4229-8ABA-B5064B394E47}"/>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B803A6B9-9E54-4757-9837-C74BFF954435}"/>
    <cellStyle name="Note 2 2 2 2 3 2 3" xfId="12097" xr:uid="{B803888C-7E4E-4E3A-A220-969575A0D84F}"/>
    <cellStyle name="Note 2 2 2 2 3 3" xfId="5731" xr:uid="{00000000-0005-0000-0000-00009F200000}"/>
    <cellStyle name="Note 2 2 2 2 3 3 2" xfId="14170" xr:uid="{E3A4D7A3-16E9-402B-B91E-1022B82810A8}"/>
    <cellStyle name="Note 2 2 2 2 3 4" xfId="9952" xr:uid="{E8336A11-4B4F-493E-B832-19CE27104CDF}"/>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7AB3A4F9-5B11-414F-82CD-00E648462769}"/>
    <cellStyle name="Note 2 2 2 2 4 2 3" xfId="12510" xr:uid="{EE759D3B-B672-43BB-A308-233C816F96CD}"/>
    <cellStyle name="Note 2 2 2 2 4 3" xfId="6144" xr:uid="{00000000-0005-0000-0000-0000A3200000}"/>
    <cellStyle name="Note 2 2 2 2 4 3 2" xfId="14583" xr:uid="{4868798E-087A-476E-B384-CD2FB27E5B74}"/>
    <cellStyle name="Note 2 2 2 2 4 4" xfId="10365" xr:uid="{494105D2-10C5-4EF5-BDCB-2A91386ABAD4}"/>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51730DFA-4A40-4D86-84FD-51FB2930C407}"/>
    <cellStyle name="Note 2 2 2 2 5 2 3" xfId="12923" xr:uid="{6430A0BA-3951-4282-BC78-85B42EEDB736}"/>
    <cellStyle name="Note 2 2 2 2 5 3" xfId="6557" xr:uid="{00000000-0005-0000-0000-0000A7200000}"/>
    <cellStyle name="Note 2 2 2 2 5 3 2" xfId="14996" xr:uid="{5EC8E4C6-9820-4F0C-AE09-658BE64C5497}"/>
    <cellStyle name="Note 2 2 2 2 5 4" xfId="10778" xr:uid="{50EC9120-9BA9-4780-82A2-541F11AC0F9C}"/>
    <cellStyle name="Note 2 2 2 2 6" xfId="2686" xr:uid="{00000000-0005-0000-0000-0000A8200000}"/>
    <cellStyle name="Note 2 2 2 2 6 2" xfId="6970" xr:uid="{00000000-0005-0000-0000-0000A9200000}"/>
    <cellStyle name="Note 2 2 2 2 6 2 2" xfId="15409" xr:uid="{1654FE6A-7289-445E-9162-7B79338B5F27}"/>
    <cellStyle name="Note 2 2 2 2 6 3" xfId="11191" xr:uid="{EA7B68E6-68B4-47AC-80C6-D5299D502FE3}"/>
    <cellStyle name="Note 2 2 2 2 7" xfId="2745" xr:uid="{00000000-0005-0000-0000-0000AA200000}"/>
    <cellStyle name="Note 2 2 2 2 8" xfId="2826" xr:uid="{00000000-0005-0000-0000-0000AB200000}"/>
    <cellStyle name="Note 2 2 2 2 8 2" xfId="7050" xr:uid="{00000000-0005-0000-0000-0000AC200000}"/>
    <cellStyle name="Note 2 2 2 2 8 2 2" xfId="15489" xr:uid="{02A42338-F1D2-47E0-B8D3-2B3B85025F47}"/>
    <cellStyle name="Note 2 2 2 2 8 3" xfId="11271" xr:uid="{25A6F416-4A74-4E11-ABE9-9D3ED44A1732}"/>
    <cellStyle name="Note 2 2 2 2 9" xfId="4905" xr:uid="{00000000-0005-0000-0000-0000AD200000}"/>
    <cellStyle name="Note 2 2 2 2 9 2" xfId="13344" xr:uid="{B3A08658-956C-4131-B861-5AF07F10E320}"/>
    <cellStyle name="Note 2 2 2 3" xfId="1007" xr:uid="{00000000-0005-0000-0000-0000AE200000}"/>
    <cellStyle name="Note 2 2 2 3 2" xfId="3239" xr:uid="{00000000-0005-0000-0000-0000AF200000}"/>
    <cellStyle name="Note 2 2 2 3 2 2" xfId="7462" xr:uid="{00000000-0005-0000-0000-0000B0200000}"/>
    <cellStyle name="Note 2 2 2 3 2 2 2" xfId="15901" xr:uid="{B732F749-72A5-44E6-9812-DC996FCBF9AF}"/>
    <cellStyle name="Note 2 2 2 3 2 3" xfId="11683" xr:uid="{842DF506-F608-4C68-BD19-482473F180B4}"/>
    <cellStyle name="Note 2 2 2 3 3" xfId="5317" xr:uid="{00000000-0005-0000-0000-0000B1200000}"/>
    <cellStyle name="Note 2 2 2 3 3 2" xfId="13756" xr:uid="{17F91D3D-B11A-4968-9CBB-2176D8FB37B5}"/>
    <cellStyle name="Note 2 2 2 3 4" xfId="9538" xr:uid="{4FB23CE4-E44A-441F-A021-7808CBEA7060}"/>
    <cellStyle name="Note 2 2 2 4" xfId="1422" xr:uid="{00000000-0005-0000-0000-0000B2200000}"/>
    <cellStyle name="Note 2 2 2 4 2" xfId="3652" xr:uid="{00000000-0005-0000-0000-0000B3200000}"/>
    <cellStyle name="Note 2 2 2 4 2 2" xfId="7875" xr:uid="{00000000-0005-0000-0000-0000B4200000}"/>
    <cellStyle name="Note 2 2 2 4 2 2 2" xfId="16314" xr:uid="{F41C5CD4-502F-4817-9A61-EC78F01D51FC}"/>
    <cellStyle name="Note 2 2 2 4 2 3" xfId="12096" xr:uid="{7F5B19EA-5C07-41CA-96EC-86CF9088330D}"/>
    <cellStyle name="Note 2 2 2 4 3" xfId="5730" xr:uid="{00000000-0005-0000-0000-0000B5200000}"/>
    <cellStyle name="Note 2 2 2 4 3 2" xfId="14169" xr:uid="{AE4CA5B0-9EB4-4EA6-935F-8A16688FC0E8}"/>
    <cellStyle name="Note 2 2 2 4 4" xfId="9951" xr:uid="{55667890-16AE-4707-844A-76C6F14A458F}"/>
    <cellStyle name="Note 2 2 2 5" xfId="1836" xr:uid="{00000000-0005-0000-0000-0000B6200000}"/>
    <cellStyle name="Note 2 2 2 5 2" xfId="4065" xr:uid="{00000000-0005-0000-0000-0000B7200000}"/>
    <cellStyle name="Note 2 2 2 5 2 2" xfId="8288" xr:uid="{00000000-0005-0000-0000-0000B8200000}"/>
    <cellStyle name="Note 2 2 2 5 2 2 2" xfId="16727" xr:uid="{6BDB8961-40B3-4A48-B814-2806805B9142}"/>
    <cellStyle name="Note 2 2 2 5 2 3" xfId="12509" xr:uid="{F35E5B60-0BC8-41C3-9D33-4F4BE828142F}"/>
    <cellStyle name="Note 2 2 2 5 3" xfId="6143" xr:uid="{00000000-0005-0000-0000-0000B9200000}"/>
    <cellStyle name="Note 2 2 2 5 3 2" xfId="14582" xr:uid="{4290DE0C-498F-43F1-940D-7AEFBE8F76AB}"/>
    <cellStyle name="Note 2 2 2 5 4" xfId="10364" xr:uid="{BE4FF53E-3CF7-4301-A9E8-707EF63D613C}"/>
    <cellStyle name="Note 2 2 2 6" xfId="2249" xr:uid="{00000000-0005-0000-0000-0000BA200000}"/>
    <cellStyle name="Note 2 2 2 6 2" xfId="4478" xr:uid="{00000000-0005-0000-0000-0000BB200000}"/>
    <cellStyle name="Note 2 2 2 6 2 2" xfId="8701" xr:uid="{00000000-0005-0000-0000-0000BC200000}"/>
    <cellStyle name="Note 2 2 2 6 2 2 2" xfId="17140" xr:uid="{9FAAFB73-A8A8-463F-914E-76DD3A445DC9}"/>
    <cellStyle name="Note 2 2 2 6 2 3" xfId="12922" xr:uid="{01C4DEA0-AAB5-4D0F-B81F-3827CBA3DCAE}"/>
    <cellStyle name="Note 2 2 2 6 3" xfId="6556" xr:uid="{00000000-0005-0000-0000-0000BD200000}"/>
    <cellStyle name="Note 2 2 2 6 3 2" xfId="14995" xr:uid="{85E577E2-6026-4B27-A7AE-6F2AD7CF236C}"/>
    <cellStyle name="Note 2 2 2 6 4" xfId="10777" xr:uid="{2C73DE93-8056-4838-8861-7912DD6C767F}"/>
    <cellStyle name="Note 2 2 2 7" xfId="2685" xr:uid="{00000000-0005-0000-0000-0000BE200000}"/>
    <cellStyle name="Note 2 2 2 7 2" xfId="6969" xr:uid="{00000000-0005-0000-0000-0000BF200000}"/>
    <cellStyle name="Note 2 2 2 7 2 2" xfId="15408" xr:uid="{FDE92C30-26CC-42AE-941B-5A2693EF850F}"/>
    <cellStyle name="Note 2 2 2 7 3" xfId="11190" xr:uid="{3EAD9D85-6696-497E-9D03-7D1DC8B514F8}"/>
    <cellStyle name="Note 2 2 2 8" xfId="2744" xr:uid="{00000000-0005-0000-0000-0000C0200000}"/>
    <cellStyle name="Note 2 2 2 9" xfId="2825" xr:uid="{00000000-0005-0000-0000-0000C1200000}"/>
    <cellStyle name="Note 2 2 2 9 2" xfId="7049" xr:uid="{00000000-0005-0000-0000-0000C2200000}"/>
    <cellStyle name="Note 2 2 2 9 2 2" xfId="15488" xr:uid="{53582336-BB66-4EE4-8547-CE12E5D2BF79}"/>
    <cellStyle name="Note 2 2 2 9 3" xfId="11270" xr:uid="{8A33A79B-5627-4A0F-A06C-A98990044C82}"/>
    <cellStyle name="Note 2 2 3" xfId="548" xr:uid="{00000000-0005-0000-0000-0000C3200000}"/>
    <cellStyle name="Note 2 2 3 10" xfId="9127" xr:uid="{8392B98C-8774-415B-B325-448911109948}"/>
    <cellStyle name="Note 2 2 3 2" xfId="1009" xr:uid="{00000000-0005-0000-0000-0000C4200000}"/>
    <cellStyle name="Note 2 2 3 2 2" xfId="3241" xr:uid="{00000000-0005-0000-0000-0000C5200000}"/>
    <cellStyle name="Note 2 2 3 2 2 2" xfId="7464" xr:uid="{00000000-0005-0000-0000-0000C6200000}"/>
    <cellStyle name="Note 2 2 3 2 2 2 2" xfId="15903" xr:uid="{DC42BD16-9402-4C84-9402-76C91986361C}"/>
    <cellStyle name="Note 2 2 3 2 2 3" xfId="11685" xr:uid="{CFA21E14-ECFE-4AB7-AF2D-A7C92E9E8E02}"/>
    <cellStyle name="Note 2 2 3 2 3" xfId="5319" xr:uid="{00000000-0005-0000-0000-0000C7200000}"/>
    <cellStyle name="Note 2 2 3 2 3 2" xfId="13758" xr:uid="{A942C758-BAB1-40AB-8365-93E9B0273FBA}"/>
    <cellStyle name="Note 2 2 3 2 4" xfId="9540" xr:uid="{1AD4D350-920A-4CF6-92BF-5644250D704B}"/>
    <cellStyle name="Note 2 2 3 3" xfId="1424" xr:uid="{00000000-0005-0000-0000-0000C8200000}"/>
    <cellStyle name="Note 2 2 3 3 2" xfId="3654" xr:uid="{00000000-0005-0000-0000-0000C9200000}"/>
    <cellStyle name="Note 2 2 3 3 2 2" xfId="7877" xr:uid="{00000000-0005-0000-0000-0000CA200000}"/>
    <cellStyle name="Note 2 2 3 3 2 2 2" xfId="16316" xr:uid="{E9881F64-1A7C-43CC-B1DB-4DB96E3C3EF1}"/>
    <cellStyle name="Note 2 2 3 3 2 3" xfId="12098" xr:uid="{8B75A870-6060-414C-9AEC-2D68C8FC2B4C}"/>
    <cellStyle name="Note 2 2 3 3 3" xfId="5732" xr:uid="{00000000-0005-0000-0000-0000CB200000}"/>
    <cellStyle name="Note 2 2 3 3 3 2" xfId="14171" xr:uid="{6488D25D-ACAA-4030-9C48-BD8338305008}"/>
    <cellStyle name="Note 2 2 3 3 4" xfId="9953" xr:uid="{D776BB62-7621-4785-B3AD-E09A76177724}"/>
    <cellStyle name="Note 2 2 3 4" xfId="1838" xr:uid="{00000000-0005-0000-0000-0000CC200000}"/>
    <cellStyle name="Note 2 2 3 4 2" xfId="4067" xr:uid="{00000000-0005-0000-0000-0000CD200000}"/>
    <cellStyle name="Note 2 2 3 4 2 2" xfId="8290" xr:uid="{00000000-0005-0000-0000-0000CE200000}"/>
    <cellStyle name="Note 2 2 3 4 2 2 2" xfId="16729" xr:uid="{0A85F3BB-ED31-4F20-8181-C9D33C4073AE}"/>
    <cellStyle name="Note 2 2 3 4 2 3" xfId="12511" xr:uid="{A27D1220-750D-44D7-B610-7873E9352E85}"/>
    <cellStyle name="Note 2 2 3 4 3" xfId="6145" xr:uid="{00000000-0005-0000-0000-0000CF200000}"/>
    <cellStyle name="Note 2 2 3 4 3 2" xfId="14584" xr:uid="{17C44D94-F4F8-4969-828D-FA459C8C02A5}"/>
    <cellStyle name="Note 2 2 3 4 4" xfId="10366" xr:uid="{A1D35A37-9CCC-4C6B-B80C-9A97BE604ABA}"/>
    <cellStyle name="Note 2 2 3 5" xfId="2251" xr:uid="{00000000-0005-0000-0000-0000D0200000}"/>
    <cellStyle name="Note 2 2 3 5 2" xfId="4480" xr:uid="{00000000-0005-0000-0000-0000D1200000}"/>
    <cellStyle name="Note 2 2 3 5 2 2" xfId="8703" xr:uid="{00000000-0005-0000-0000-0000D2200000}"/>
    <cellStyle name="Note 2 2 3 5 2 2 2" xfId="17142" xr:uid="{457D4158-B988-47AD-AA21-AB8DDD423524}"/>
    <cellStyle name="Note 2 2 3 5 2 3" xfId="12924" xr:uid="{E0BD5A1F-6829-4199-802C-C11843D40C09}"/>
    <cellStyle name="Note 2 2 3 5 3" xfId="6558" xr:uid="{00000000-0005-0000-0000-0000D3200000}"/>
    <cellStyle name="Note 2 2 3 5 3 2" xfId="14997" xr:uid="{E76BC959-D3C8-43A5-AE09-4E2C66239C4D}"/>
    <cellStyle name="Note 2 2 3 5 4" xfId="10779" xr:uid="{3E676F5D-CD59-41AC-BEFF-B084AA76B5A5}"/>
    <cellStyle name="Note 2 2 3 6" xfId="2687" xr:uid="{00000000-0005-0000-0000-0000D4200000}"/>
    <cellStyle name="Note 2 2 3 6 2" xfId="6971" xr:uid="{00000000-0005-0000-0000-0000D5200000}"/>
    <cellStyle name="Note 2 2 3 6 2 2" xfId="15410" xr:uid="{4AB5FA0A-49F1-4F09-9DF4-7F55723BCB51}"/>
    <cellStyle name="Note 2 2 3 6 3" xfId="11192" xr:uid="{CD6D97EE-DEDE-4595-BB1A-EDCC9123D28C}"/>
    <cellStyle name="Note 2 2 3 7" xfId="2746" xr:uid="{00000000-0005-0000-0000-0000D6200000}"/>
    <cellStyle name="Note 2 2 3 8" xfId="2827" xr:uid="{00000000-0005-0000-0000-0000D7200000}"/>
    <cellStyle name="Note 2 2 3 8 2" xfId="7051" xr:uid="{00000000-0005-0000-0000-0000D8200000}"/>
    <cellStyle name="Note 2 2 3 8 2 2" xfId="15490" xr:uid="{4AD6B338-9488-4272-A5EC-AE2C0AA5E3AF}"/>
    <cellStyle name="Note 2 2 3 8 3" xfId="11272" xr:uid="{A223E656-143D-43F7-878C-0A8E8F5AC5DA}"/>
    <cellStyle name="Note 2 2 3 9" xfId="4906" xr:uid="{00000000-0005-0000-0000-0000D9200000}"/>
    <cellStyle name="Note 2 2 3 9 2" xfId="13345" xr:uid="{BBE9777B-E550-42C7-9EF5-EA190F94B3EE}"/>
    <cellStyle name="Note 2 2 4" xfId="1006" xr:uid="{00000000-0005-0000-0000-0000DA200000}"/>
    <cellStyle name="Note 2 2 4 2" xfId="3238" xr:uid="{00000000-0005-0000-0000-0000DB200000}"/>
    <cellStyle name="Note 2 2 4 2 2" xfId="7461" xr:uid="{00000000-0005-0000-0000-0000DC200000}"/>
    <cellStyle name="Note 2 2 4 2 2 2" xfId="15900" xr:uid="{AC1D352A-EDF2-4283-9D2D-6BDE5F77D254}"/>
    <cellStyle name="Note 2 2 4 2 3" xfId="11682" xr:uid="{5C8C52B7-A8CE-4AC5-8CE7-F0094DCCA310}"/>
    <cellStyle name="Note 2 2 4 3" xfId="5316" xr:uid="{00000000-0005-0000-0000-0000DD200000}"/>
    <cellStyle name="Note 2 2 4 3 2" xfId="13755" xr:uid="{F18FD5AA-5005-4A1D-AAB6-3BF55D3DE4D2}"/>
    <cellStyle name="Note 2 2 4 4" xfId="9537" xr:uid="{B4034A0C-8B64-4FF7-AE36-FF8FB1698C39}"/>
    <cellStyle name="Note 2 2 5" xfId="1421" xr:uid="{00000000-0005-0000-0000-0000DE200000}"/>
    <cellStyle name="Note 2 2 5 2" xfId="3651" xr:uid="{00000000-0005-0000-0000-0000DF200000}"/>
    <cellStyle name="Note 2 2 5 2 2" xfId="7874" xr:uid="{00000000-0005-0000-0000-0000E0200000}"/>
    <cellStyle name="Note 2 2 5 2 2 2" xfId="16313" xr:uid="{1CAF45BB-C86B-4557-BFF4-40C871F2B09F}"/>
    <cellStyle name="Note 2 2 5 2 3" xfId="12095" xr:uid="{C9908E44-C893-4D90-AB28-37E20C3EE3D4}"/>
    <cellStyle name="Note 2 2 5 3" xfId="5729" xr:uid="{00000000-0005-0000-0000-0000E1200000}"/>
    <cellStyle name="Note 2 2 5 3 2" xfId="14168" xr:uid="{AAB3B05F-B445-4323-8FAD-D6EB144C58D9}"/>
    <cellStyle name="Note 2 2 5 4" xfId="9950" xr:uid="{E3A07CA7-2530-4A73-8F29-DA7D8D06C013}"/>
    <cellStyle name="Note 2 2 6" xfId="1835" xr:uid="{00000000-0005-0000-0000-0000E2200000}"/>
    <cellStyle name="Note 2 2 6 2" xfId="4064" xr:uid="{00000000-0005-0000-0000-0000E3200000}"/>
    <cellStyle name="Note 2 2 6 2 2" xfId="8287" xr:uid="{00000000-0005-0000-0000-0000E4200000}"/>
    <cellStyle name="Note 2 2 6 2 2 2" xfId="16726" xr:uid="{C2F9DC17-6D1A-423C-BD43-A5AA06118C86}"/>
    <cellStyle name="Note 2 2 6 2 3" xfId="12508" xr:uid="{A6991AEF-5211-490D-B556-F878D831C30B}"/>
    <cellStyle name="Note 2 2 6 3" xfId="6142" xr:uid="{00000000-0005-0000-0000-0000E5200000}"/>
    <cellStyle name="Note 2 2 6 3 2" xfId="14581" xr:uid="{158CE045-4DF4-4A0E-BA26-381B4A6050D2}"/>
    <cellStyle name="Note 2 2 6 4" xfId="10363" xr:uid="{DC793AAF-6ED5-462B-ABFA-9AA5E34BCDE4}"/>
    <cellStyle name="Note 2 2 7" xfId="2248" xr:uid="{00000000-0005-0000-0000-0000E6200000}"/>
    <cellStyle name="Note 2 2 7 2" xfId="4477" xr:uid="{00000000-0005-0000-0000-0000E7200000}"/>
    <cellStyle name="Note 2 2 7 2 2" xfId="8700" xr:uid="{00000000-0005-0000-0000-0000E8200000}"/>
    <cellStyle name="Note 2 2 7 2 2 2" xfId="17139" xr:uid="{A99D36E5-BEF7-4FE9-8A80-F02AD1CBDA90}"/>
    <cellStyle name="Note 2 2 7 2 3" xfId="12921" xr:uid="{3BB42870-BBF5-42CA-B8EB-C855B80D1230}"/>
    <cellStyle name="Note 2 2 7 3" xfId="6555" xr:uid="{00000000-0005-0000-0000-0000E9200000}"/>
    <cellStyle name="Note 2 2 7 3 2" xfId="14994" xr:uid="{05163756-D9FC-43B5-9AAA-1B268A89F620}"/>
    <cellStyle name="Note 2 2 7 4" xfId="10776" xr:uid="{DFF12473-320B-48B1-B99B-DA5E80225E7A}"/>
    <cellStyle name="Note 2 2 8" xfId="2684" xr:uid="{00000000-0005-0000-0000-0000EA200000}"/>
    <cellStyle name="Note 2 2 8 2" xfId="6968" xr:uid="{00000000-0005-0000-0000-0000EB200000}"/>
    <cellStyle name="Note 2 2 8 2 2" xfId="15407" xr:uid="{C2629153-27FA-466A-B925-B21B6F186D58}"/>
    <cellStyle name="Note 2 2 8 3" xfId="11189" xr:uid="{E6595147-BAA5-451A-96B9-D5CE2E78944D}"/>
    <cellStyle name="Note 2 2 9" xfId="2743" xr:uid="{00000000-0005-0000-0000-0000EC200000}"/>
    <cellStyle name="Note 2 3" xfId="549" xr:uid="{00000000-0005-0000-0000-0000ED200000}"/>
    <cellStyle name="Note 2 3 10" xfId="4907" xr:uid="{00000000-0005-0000-0000-0000EE200000}"/>
    <cellStyle name="Note 2 3 10 2" xfId="13346" xr:uid="{27470563-B0C4-4809-92D0-7BCE69594FE3}"/>
    <cellStyle name="Note 2 3 11" xfId="9128" xr:uid="{F364AFDB-0A88-4C90-BE82-B2D5489B59D5}"/>
    <cellStyle name="Note 2 3 2" xfId="550" xr:uid="{00000000-0005-0000-0000-0000EF200000}"/>
    <cellStyle name="Note 2 3 2 10" xfId="9129" xr:uid="{3CDC4D6D-D234-4B32-896A-ACC39FF0B0DB}"/>
    <cellStyle name="Note 2 3 2 2" xfId="1011" xr:uid="{00000000-0005-0000-0000-0000F0200000}"/>
    <cellStyle name="Note 2 3 2 2 2" xfId="3243" xr:uid="{00000000-0005-0000-0000-0000F1200000}"/>
    <cellStyle name="Note 2 3 2 2 2 2" xfId="7466" xr:uid="{00000000-0005-0000-0000-0000F2200000}"/>
    <cellStyle name="Note 2 3 2 2 2 2 2" xfId="15905" xr:uid="{6AE19228-D81F-4974-995D-85A3C1BA43E1}"/>
    <cellStyle name="Note 2 3 2 2 2 3" xfId="11687" xr:uid="{5034440D-5BEF-4059-B66B-99C6826BE684}"/>
    <cellStyle name="Note 2 3 2 2 3" xfId="5321" xr:uid="{00000000-0005-0000-0000-0000F3200000}"/>
    <cellStyle name="Note 2 3 2 2 3 2" xfId="13760" xr:uid="{91B1DADA-C184-4A6F-B054-4B7A7C5FB413}"/>
    <cellStyle name="Note 2 3 2 2 4" xfId="9542" xr:uid="{8DF974F7-B24E-4E71-B2CC-799AA79406A5}"/>
    <cellStyle name="Note 2 3 2 3" xfId="1426" xr:uid="{00000000-0005-0000-0000-0000F4200000}"/>
    <cellStyle name="Note 2 3 2 3 2" xfId="3656" xr:uid="{00000000-0005-0000-0000-0000F5200000}"/>
    <cellStyle name="Note 2 3 2 3 2 2" xfId="7879" xr:uid="{00000000-0005-0000-0000-0000F6200000}"/>
    <cellStyle name="Note 2 3 2 3 2 2 2" xfId="16318" xr:uid="{FA4053BA-8CD5-47D8-8FAA-F1FFC2A3529A}"/>
    <cellStyle name="Note 2 3 2 3 2 3" xfId="12100" xr:uid="{5316384E-187F-4A08-87E7-6D4E2207F4C5}"/>
    <cellStyle name="Note 2 3 2 3 3" xfId="5734" xr:uid="{00000000-0005-0000-0000-0000F7200000}"/>
    <cellStyle name="Note 2 3 2 3 3 2" xfId="14173" xr:uid="{C5DA4845-021B-425F-9643-53D46A7D38F0}"/>
    <cellStyle name="Note 2 3 2 3 4" xfId="9955" xr:uid="{C014EB0A-5C14-44FE-A562-EADFF1D26D8E}"/>
    <cellStyle name="Note 2 3 2 4" xfId="1840" xr:uid="{00000000-0005-0000-0000-0000F8200000}"/>
    <cellStyle name="Note 2 3 2 4 2" xfId="4069" xr:uid="{00000000-0005-0000-0000-0000F9200000}"/>
    <cellStyle name="Note 2 3 2 4 2 2" xfId="8292" xr:uid="{00000000-0005-0000-0000-0000FA200000}"/>
    <cellStyle name="Note 2 3 2 4 2 2 2" xfId="16731" xr:uid="{E19D8A6E-EA27-40CD-851A-CA2288779EF7}"/>
    <cellStyle name="Note 2 3 2 4 2 3" xfId="12513" xr:uid="{FB8332D4-A0C3-42E4-BED4-74B3EE0683D8}"/>
    <cellStyle name="Note 2 3 2 4 3" xfId="6147" xr:uid="{00000000-0005-0000-0000-0000FB200000}"/>
    <cellStyle name="Note 2 3 2 4 3 2" xfId="14586" xr:uid="{87AFCEAC-2BDB-4B26-848B-F4B5545D070E}"/>
    <cellStyle name="Note 2 3 2 4 4" xfId="10368" xr:uid="{C0FA8514-EAA9-4B98-A095-5CB5E55909AA}"/>
    <cellStyle name="Note 2 3 2 5" xfId="2253" xr:uid="{00000000-0005-0000-0000-0000FC200000}"/>
    <cellStyle name="Note 2 3 2 5 2" xfId="4482" xr:uid="{00000000-0005-0000-0000-0000FD200000}"/>
    <cellStyle name="Note 2 3 2 5 2 2" xfId="8705" xr:uid="{00000000-0005-0000-0000-0000FE200000}"/>
    <cellStyle name="Note 2 3 2 5 2 2 2" xfId="17144" xr:uid="{4E596FED-07AD-4AA1-B938-5BCCC68B0CC1}"/>
    <cellStyle name="Note 2 3 2 5 2 3" xfId="12926" xr:uid="{707D7959-9FE6-4445-9328-ADA4ECF98601}"/>
    <cellStyle name="Note 2 3 2 5 3" xfId="6560" xr:uid="{00000000-0005-0000-0000-0000FF200000}"/>
    <cellStyle name="Note 2 3 2 5 3 2" xfId="14999" xr:uid="{6BE11D8C-CDF4-429E-94BA-3498EA7B01D1}"/>
    <cellStyle name="Note 2 3 2 5 4" xfId="10781" xr:uid="{9F2CCD44-BAB7-4A25-8ADC-DEBF3615FD6B}"/>
    <cellStyle name="Note 2 3 2 6" xfId="2689" xr:uid="{00000000-0005-0000-0000-000000210000}"/>
    <cellStyle name="Note 2 3 2 6 2" xfId="6973" xr:uid="{00000000-0005-0000-0000-000001210000}"/>
    <cellStyle name="Note 2 3 2 6 2 2" xfId="15412" xr:uid="{1E1AAD2C-3AF6-4DC7-B058-241E113467A7}"/>
    <cellStyle name="Note 2 3 2 6 3" xfId="11194" xr:uid="{FD0F4F65-A2F0-4C0F-87E9-1C3DF08F544A}"/>
    <cellStyle name="Note 2 3 2 7" xfId="2748" xr:uid="{00000000-0005-0000-0000-000002210000}"/>
    <cellStyle name="Note 2 3 2 8" xfId="2829" xr:uid="{00000000-0005-0000-0000-000003210000}"/>
    <cellStyle name="Note 2 3 2 8 2" xfId="7053" xr:uid="{00000000-0005-0000-0000-000004210000}"/>
    <cellStyle name="Note 2 3 2 8 2 2" xfId="15492" xr:uid="{83FEE9E9-DB5D-4DBE-A0F7-66953A7AA292}"/>
    <cellStyle name="Note 2 3 2 8 3" xfId="11274" xr:uid="{D91DCB42-AD5E-4357-A9A1-08A096FCD4B8}"/>
    <cellStyle name="Note 2 3 2 9" xfId="4908" xr:uid="{00000000-0005-0000-0000-000005210000}"/>
    <cellStyle name="Note 2 3 2 9 2" xfId="13347" xr:uid="{B8C8F664-AE70-4D10-B60C-03A74BD13CD6}"/>
    <cellStyle name="Note 2 3 3" xfId="1010" xr:uid="{00000000-0005-0000-0000-000006210000}"/>
    <cellStyle name="Note 2 3 3 2" xfId="3242" xr:uid="{00000000-0005-0000-0000-000007210000}"/>
    <cellStyle name="Note 2 3 3 2 2" xfId="7465" xr:uid="{00000000-0005-0000-0000-000008210000}"/>
    <cellStyle name="Note 2 3 3 2 2 2" xfId="15904" xr:uid="{460AFAC5-0826-4A58-A0E8-3728A4D5B1F3}"/>
    <cellStyle name="Note 2 3 3 2 3" xfId="11686" xr:uid="{C570C03C-37B6-4713-9652-9170A2A92302}"/>
    <cellStyle name="Note 2 3 3 3" xfId="5320" xr:uid="{00000000-0005-0000-0000-000009210000}"/>
    <cellStyle name="Note 2 3 3 3 2" xfId="13759" xr:uid="{E7A2DE02-4DFA-4A7F-ABDD-D930132B6064}"/>
    <cellStyle name="Note 2 3 3 4" xfId="9541" xr:uid="{BC59C030-3EB1-4AF7-90C3-886EB60A476A}"/>
    <cellStyle name="Note 2 3 4" xfId="1425" xr:uid="{00000000-0005-0000-0000-00000A210000}"/>
    <cellStyle name="Note 2 3 4 2" xfId="3655" xr:uid="{00000000-0005-0000-0000-00000B210000}"/>
    <cellStyle name="Note 2 3 4 2 2" xfId="7878" xr:uid="{00000000-0005-0000-0000-00000C210000}"/>
    <cellStyle name="Note 2 3 4 2 2 2" xfId="16317" xr:uid="{A1DBE0FA-1784-4787-9B70-6E7C49D2844C}"/>
    <cellStyle name="Note 2 3 4 2 3" xfId="12099" xr:uid="{F332B942-3637-492E-8409-F91C80DD4962}"/>
    <cellStyle name="Note 2 3 4 3" xfId="5733" xr:uid="{00000000-0005-0000-0000-00000D210000}"/>
    <cellStyle name="Note 2 3 4 3 2" xfId="14172" xr:uid="{486AA8CB-7148-4C2E-B67E-0E09C315A929}"/>
    <cellStyle name="Note 2 3 4 4" xfId="9954" xr:uid="{78373EE6-0E9E-442B-B212-A62A06CF2677}"/>
    <cellStyle name="Note 2 3 5" xfId="1839" xr:uid="{00000000-0005-0000-0000-00000E210000}"/>
    <cellStyle name="Note 2 3 5 2" xfId="4068" xr:uid="{00000000-0005-0000-0000-00000F210000}"/>
    <cellStyle name="Note 2 3 5 2 2" xfId="8291" xr:uid="{00000000-0005-0000-0000-000010210000}"/>
    <cellStyle name="Note 2 3 5 2 2 2" xfId="16730" xr:uid="{AAB650A0-F1CA-4F71-AD3C-A3B83A3C1AD5}"/>
    <cellStyle name="Note 2 3 5 2 3" xfId="12512" xr:uid="{0C7A60A9-AC1C-40EC-B6D0-08788D91117B}"/>
    <cellStyle name="Note 2 3 5 3" xfId="6146" xr:uid="{00000000-0005-0000-0000-000011210000}"/>
    <cellStyle name="Note 2 3 5 3 2" xfId="14585" xr:uid="{476A3FE0-74AD-4EF6-A6D4-5F7CA55481D5}"/>
    <cellStyle name="Note 2 3 5 4" xfId="10367" xr:uid="{2F48E74B-9765-47B0-8F7A-8D7424748BAC}"/>
    <cellStyle name="Note 2 3 6" xfId="2252" xr:uid="{00000000-0005-0000-0000-000012210000}"/>
    <cellStyle name="Note 2 3 6 2" xfId="4481" xr:uid="{00000000-0005-0000-0000-000013210000}"/>
    <cellStyle name="Note 2 3 6 2 2" xfId="8704" xr:uid="{00000000-0005-0000-0000-000014210000}"/>
    <cellStyle name="Note 2 3 6 2 2 2" xfId="17143" xr:uid="{85F11D7F-0D3C-47CA-B86C-A35EC4FF8B96}"/>
    <cellStyle name="Note 2 3 6 2 3" xfId="12925" xr:uid="{02DDB222-A0F8-456C-95B5-F6E1084FABEE}"/>
    <cellStyle name="Note 2 3 6 3" xfId="6559" xr:uid="{00000000-0005-0000-0000-000015210000}"/>
    <cellStyle name="Note 2 3 6 3 2" xfId="14998" xr:uid="{1BEC1A68-2E20-470D-9A79-FFD9C4BE035F}"/>
    <cellStyle name="Note 2 3 6 4" xfId="10780" xr:uid="{86770F5D-50F3-4F63-8AA8-1C12C290B71E}"/>
    <cellStyle name="Note 2 3 7" xfId="2688" xr:uid="{00000000-0005-0000-0000-000016210000}"/>
    <cellStyle name="Note 2 3 7 2" xfId="6972" xr:uid="{00000000-0005-0000-0000-000017210000}"/>
    <cellStyle name="Note 2 3 7 2 2" xfId="15411" xr:uid="{A8CB3573-922C-48D6-9C07-5A9BFFEE8A2D}"/>
    <cellStyle name="Note 2 3 7 3" xfId="11193" xr:uid="{EAB630FC-2554-4383-A55F-E42A58AA19DF}"/>
    <cellStyle name="Note 2 3 8" xfId="2747" xr:uid="{00000000-0005-0000-0000-000018210000}"/>
    <cellStyle name="Note 2 3 9" xfId="2828" xr:uid="{00000000-0005-0000-0000-000019210000}"/>
    <cellStyle name="Note 2 3 9 2" xfId="7052" xr:uid="{00000000-0005-0000-0000-00001A210000}"/>
    <cellStyle name="Note 2 3 9 2 2" xfId="15491" xr:uid="{8D73D77F-31E6-4323-8684-0D0C90D2F7D8}"/>
    <cellStyle name="Note 2 3 9 3" xfId="11273" xr:uid="{3D3F4B66-DD17-4D86-9A97-E0E0EA6D3F89}"/>
    <cellStyle name="Note 2 4" xfId="551" xr:uid="{00000000-0005-0000-0000-00001B210000}"/>
    <cellStyle name="Note 2 4 10" xfId="9130" xr:uid="{620212E8-EDD8-4B6A-928C-7628CFCC090D}"/>
    <cellStyle name="Note 2 4 2" xfId="1012" xr:uid="{00000000-0005-0000-0000-00001C210000}"/>
    <cellStyle name="Note 2 4 2 2" xfId="3244" xr:uid="{00000000-0005-0000-0000-00001D210000}"/>
    <cellStyle name="Note 2 4 2 2 2" xfId="7467" xr:uid="{00000000-0005-0000-0000-00001E210000}"/>
    <cellStyle name="Note 2 4 2 2 2 2" xfId="15906" xr:uid="{2A8582EC-8C7E-4027-851D-A173DABC0D24}"/>
    <cellStyle name="Note 2 4 2 2 3" xfId="11688" xr:uid="{2EEDAA06-A950-4FFF-855A-58D391A34C77}"/>
    <cellStyle name="Note 2 4 2 3" xfId="5322" xr:uid="{00000000-0005-0000-0000-00001F210000}"/>
    <cellStyle name="Note 2 4 2 3 2" xfId="13761" xr:uid="{729031DB-3795-4194-BF24-D84056708488}"/>
    <cellStyle name="Note 2 4 2 4" xfId="9543" xr:uid="{44891D24-3BAB-424D-84BF-F9D9E7C296EB}"/>
    <cellStyle name="Note 2 4 3" xfId="1427" xr:uid="{00000000-0005-0000-0000-000020210000}"/>
    <cellStyle name="Note 2 4 3 2" xfId="3657" xr:uid="{00000000-0005-0000-0000-000021210000}"/>
    <cellStyle name="Note 2 4 3 2 2" xfId="7880" xr:uid="{00000000-0005-0000-0000-000022210000}"/>
    <cellStyle name="Note 2 4 3 2 2 2" xfId="16319" xr:uid="{205A281E-2BBB-4445-AA06-BFFDE8648389}"/>
    <cellStyle name="Note 2 4 3 2 3" xfId="12101" xr:uid="{2BEBC36E-6B95-4ADC-B5E2-1F53371B681C}"/>
    <cellStyle name="Note 2 4 3 3" xfId="5735" xr:uid="{00000000-0005-0000-0000-000023210000}"/>
    <cellStyle name="Note 2 4 3 3 2" xfId="14174" xr:uid="{D33EFDA4-D603-462E-AFED-4A0264581748}"/>
    <cellStyle name="Note 2 4 3 4" xfId="9956" xr:uid="{78FDC06B-5E34-4C47-B7B9-3158655F49C4}"/>
    <cellStyle name="Note 2 4 4" xfId="1841" xr:uid="{00000000-0005-0000-0000-000024210000}"/>
    <cellStyle name="Note 2 4 4 2" xfId="4070" xr:uid="{00000000-0005-0000-0000-000025210000}"/>
    <cellStyle name="Note 2 4 4 2 2" xfId="8293" xr:uid="{00000000-0005-0000-0000-000026210000}"/>
    <cellStyle name="Note 2 4 4 2 2 2" xfId="16732" xr:uid="{ADC60C54-EB00-4073-870D-FDBD4D3875AB}"/>
    <cellStyle name="Note 2 4 4 2 3" xfId="12514" xr:uid="{68FCDBCF-A768-484D-A8B8-06BDEF8F3D8F}"/>
    <cellStyle name="Note 2 4 4 3" xfId="6148" xr:uid="{00000000-0005-0000-0000-000027210000}"/>
    <cellStyle name="Note 2 4 4 3 2" xfId="14587" xr:uid="{6A905CDD-75B4-4578-930C-1B1C13BF6D50}"/>
    <cellStyle name="Note 2 4 4 4" xfId="10369" xr:uid="{BD1EF03E-F2F1-412B-8971-AADB6811ABBA}"/>
    <cellStyle name="Note 2 4 5" xfId="2254" xr:uid="{00000000-0005-0000-0000-000028210000}"/>
    <cellStyle name="Note 2 4 5 2" xfId="4483" xr:uid="{00000000-0005-0000-0000-000029210000}"/>
    <cellStyle name="Note 2 4 5 2 2" xfId="8706" xr:uid="{00000000-0005-0000-0000-00002A210000}"/>
    <cellStyle name="Note 2 4 5 2 2 2" xfId="17145" xr:uid="{331CD598-A03A-4F1C-BB2E-0E5CDCDBEF1E}"/>
    <cellStyle name="Note 2 4 5 2 3" xfId="12927" xr:uid="{6BE75634-F197-4F63-9419-B72C2C5AEB2A}"/>
    <cellStyle name="Note 2 4 5 3" xfId="6561" xr:uid="{00000000-0005-0000-0000-00002B210000}"/>
    <cellStyle name="Note 2 4 5 3 2" xfId="15000" xr:uid="{1328EE53-48A2-4570-B3F9-8710B91C75CA}"/>
    <cellStyle name="Note 2 4 5 4" xfId="10782" xr:uid="{7EABCC2B-F674-441D-B293-36716194681C}"/>
    <cellStyle name="Note 2 4 6" xfId="2690" xr:uid="{00000000-0005-0000-0000-00002C210000}"/>
    <cellStyle name="Note 2 4 6 2" xfId="6974" xr:uid="{00000000-0005-0000-0000-00002D210000}"/>
    <cellStyle name="Note 2 4 6 2 2" xfId="15413" xr:uid="{C9401320-EBFE-40E0-AAAD-FB76992EEC2D}"/>
    <cellStyle name="Note 2 4 6 3" xfId="11195" xr:uid="{BFBA7F46-42F9-446C-BBD4-167E79C19EC8}"/>
    <cellStyle name="Note 2 4 7" xfId="2749" xr:uid="{00000000-0005-0000-0000-00002E210000}"/>
    <cellStyle name="Note 2 4 8" xfId="2830" xr:uid="{00000000-0005-0000-0000-00002F210000}"/>
    <cellStyle name="Note 2 4 8 2" xfId="7054" xr:uid="{00000000-0005-0000-0000-000030210000}"/>
    <cellStyle name="Note 2 4 8 2 2" xfId="15493" xr:uid="{D2555125-62C1-41E2-ADAE-A726005ECBED}"/>
    <cellStyle name="Note 2 4 8 3" xfId="11275" xr:uid="{048ACEB0-E5C0-428B-B7A2-E52CC0024568}"/>
    <cellStyle name="Note 2 4 9" xfId="4909" xr:uid="{00000000-0005-0000-0000-000031210000}"/>
    <cellStyle name="Note 2 4 9 2" xfId="13348" xr:uid="{72943C05-9FCC-4F87-86F9-DD2EBA3198F6}"/>
    <cellStyle name="Note 2 5" xfId="552" xr:uid="{00000000-0005-0000-0000-000032210000}"/>
    <cellStyle name="Note 2 5 10" xfId="9131" xr:uid="{6556C966-4FE7-406E-BC98-65329F5C5168}"/>
    <cellStyle name="Note 2 5 2" xfId="1013" xr:uid="{00000000-0005-0000-0000-000033210000}"/>
    <cellStyle name="Note 2 5 2 2" xfId="3245" xr:uid="{00000000-0005-0000-0000-000034210000}"/>
    <cellStyle name="Note 2 5 2 2 2" xfId="7468" xr:uid="{00000000-0005-0000-0000-000035210000}"/>
    <cellStyle name="Note 2 5 2 2 2 2" xfId="15907" xr:uid="{CEDD3015-6F6D-421F-B4CB-7405AA50B8CE}"/>
    <cellStyle name="Note 2 5 2 2 3" xfId="11689" xr:uid="{04C8D238-B826-46AC-A950-7CBF4276145A}"/>
    <cellStyle name="Note 2 5 2 3" xfId="5323" xr:uid="{00000000-0005-0000-0000-000036210000}"/>
    <cellStyle name="Note 2 5 2 3 2" xfId="13762" xr:uid="{FFB18596-BE74-4AEF-AF49-7D9441BF5E00}"/>
    <cellStyle name="Note 2 5 2 4" xfId="9544" xr:uid="{0C172F31-8DE3-49AC-A90C-45D28659394C}"/>
    <cellStyle name="Note 2 5 3" xfId="1428" xr:uid="{00000000-0005-0000-0000-000037210000}"/>
    <cellStyle name="Note 2 5 3 2" xfId="3658" xr:uid="{00000000-0005-0000-0000-000038210000}"/>
    <cellStyle name="Note 2 5 3 2 2" xfId="7881" xr:uid="{00000000-0005-0000-0000-000039210000}"/>
    <cellStyle name="Note 2 5 3 2 2 2" xfId="16320" xr:uid="{2AFF4F17-08DE-4E40-8597-66947C3AD264}"/>
    <cellStyle name="Note 2 5 3 2 3" xfId="12102" xr:uid="{3A816310-44B7-4911-81C7-D33A5BC68B65}"/>
    <cellStyle name="Note 2 5 3 3" xfId="5736" xr:uid="{00000000-0005-0000-0000-00003A210000}"/>
    <cellStyle name="Note 2 5 3 3 2" xfId="14175" xr:uid="{111D989D-EE42-4810-9E85-ADE7690470BF}"/>
    <cellStyle name="Note 2 5 3 4" xfId="9957" xr:uid="{CCA98B85-7D86-4030-8CC7-F10FC0C25487}"/>
    <cellStyle name="Note 2 5 4" xfId="1842" xr:uid="{00000000-0005-0000-0000-00003B210000}"/>
    <cellStyle name="Note 2 5 4 2" xfId="4071" xr:uid="{00000000-0005-0000-0000-00003C210000}"/>
    <cellStyle name="Note 2 5 4 2 2" xfId="8294" xr:uid="{00000000-0005-0000-0000-00003D210000}"/>
    <cellStyle name="Note 2 5 4 2 2 2" xfId="16733" xr:uid="{10C39521-5BFF-4B2A-A0A8-D9E6F27DF905}"/>
    <cellStyle name="Note 2 5 4 2 3" xfId="12515" xr:uid="{9FE4036D-9688-40E1-B672-6B142C148D8F}"/>
    <cellStyle name="Note 2 5 4 3" xfId="6149" xr:uid="{00000000-0005-0000-0000-00003E210000}"/>
    <cellStyle name="Note 2 5 4 3 2" xfId="14588" xr:uid="{EBE0C99D-34B2-4BF0-A267-8AE8FFDDF495}"/>
    <cellStyle name="Note 2 5 4 4" xfId="10370" xr:uid="{612D71C8-8044-4D07-9CB2-183BA3EFBECB}"/>
    <cellStyle name="Note 2 5 5" xfId="2255" xr:uid="{00000000-0005-0000-0000-00003F210000}"/>
    <cellStyle name="Note 2 5 5 2" xfId="4484" xr:uid="{00000000-0005-0000-0000-000040210000}"/>
    <cellStyle name="Note 2 5 5 2 2" xfId="8707" xr:uid="{00000000-0005-0000-0000-000041210000}"/>
    <cellStyle name="Note 2 5 5 2 2 2" xfId="17146" xr:uid="{1843B411-7504-4344-A874-D18F6ED9A6EB}"/>
    <cellStyle name="Note 2 5 5 2 3" xfId="12928" xr:uid="{652DE68A-DDF8-4194-837D-02C2D6EF2AAF}"/>
    <cellStyle name="Note 2 5 5 3" xfId="6562" xr:uid="{00000000-0005-0000-0000-000042210000}"/>
    <cellStyle name="Note 2 5 5 3 2" xfId="15001" xr:uid="{D94B7723-E264-4648-8DD3-65666FE3748D}"/>
    <cellStyle name="Note 2 5 5 4" xfId="10783" xr:uid="{A2AFA935-700A-4CF3-AAA2-DF54D13C14FD}"/>
    <cellStyle name="Note 2 5 6" xfId="2691" xr:uid="{00000000-0005-0000-0000-000043210000}"/>
    <cellStyle name="Note 2 5 6 2" xfId="6975" xr:uid="{00000000-0005-0000-0000-000044210000}"/>
    <cellStyle name="Note 2 5 6 2 2" xfId="15414" xr:uid="{EF773E00-FFB5-4EE6-B96F-FF98CDE80AAA}"/>
    <cellStyle name="Note 2 5 6 3" xfId="11196" xr:uid="{2C949E77-742D-4494-B3A2-3D8A946AB22B}"/>
    <cellStyle name="Note 2 5 7" xfId="2750" xr:uid="{00000000-0005-0000-0000-000045210000}"/>
    <cellStyle name="Note 2 5 8" xfId="2831" xr:uid="{00000000-0005-0000-0000-000046210000}"/>
    <cellStyle name="Note 2 5 8 2" xfId="7055" xr:uid="{00000000-0005-0000-0000-000047210000}"/>
    <cellStyle name="Note 2 5 8 2 2" xfId="15494" xr:uid="{FB244C38-EA66-4FA1-A695-FF916B71CF58}"/>
    <cellStyle name="Note 2 5 8 3" xfId="11276" xr:uid="{6CB54239-680D-4178-B21B-88F6C6F9D660}"/>
    <cellStyle name="Note 2 5 9" xfId="4910" xr:uid="{00000000-0005-0000-0000-000048210000}"/>
    <cellStyle name="Note 2 5 9 2" xfId="13349" xr:uid="{87A9A171-59E6-47A3-90DF-4887D831457A}"/>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F6A1399D-EB51-4E01-BF3B-8DCF6EBF67C1}"/>
    <cellStyle name="Note 3 2 10 3" xfId="11277" xr:uid="{9653F332-92B0-4BCB-8044-24B36CB64AFE}"/>
    <cellStyle name="Note 3 2 11" xfId="4911" xr:uid="{00000000-0005-0000-0000-00004D210000}"/>
    <cellStyle name="Note 3 2 11 2" xfId="13350" xr:uid="{2344E697-352D-48C0-99CD-6781102BCF99}"/>
    <cellStyle name="Note 3 2 12" xfId="9132" xr:uid="{B85AE9F9-4DE0-4809-8C11-6298515D85E2}"/>
    <cellStyle name="Note 3 2 2" xfId="555" xr:uid="{00000000-0005-0000-0000-00004E210000}"/>
    <cellStyle name="Note 3 2 2 10" xfId="4912" xr:uid="{00000000-0005-0000-0000-00004F210000}"/>
    <cellStyle name="Note 3 2 2 10 2" xfId="13351" xr:uid="{577A251B-8058-4BEA-A77E-9E0A785DF80E}"/>
    <cellStyle name="Note 3 2 2 11" xfId="9133" xr:uid="{972F9722-1BC3-4FEE-91EA-B2EC62A443DD}"/>
    <cellStyle name="Note 3 2 2 2" xfId="556" xr:uid="{00000000-0005-0000-0000-000050210000}"/>
    <cellStyle name="Note 3 2 2 2 10" xfId="9134" xr:uid="{9CEBBC21-4683-4AD3-B4FA-ECC0FAF9A9AA}"/>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F9F976B9-EDC9-41BB-BFC5-3974B3A14D67}"/>
    <cellStyle name="Note 3 2 2 2 2 2 3" xfId="11692" xr:uid="{5EA510CC-DE21-4520-88F0-CD0276BC8853}"/>
    <cellStyle name="Note 3 2 2 2 2 3" xfId="5326" xr:uid="{00000000-0005-0000-0000-000054210000}"/>
    <cellStyle name="Note 3 2 2 2 2 3 2" xfId="13765" xr:uid="{C737A685-071D-4E5A-A8B6-49A41C51959C}"/>
    <cellStyle name="Note 3 2 2 2 2 4" xfId="9547" xr:uid="{5211B980-263E-479C-B7E3-97CBD8734D8F}"/>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A4D55C28-4E51-4A56-9DB0-112FB1E4A68F}"/>
    <cellStyle name="Note 3 2 2 2 3 2 3" xfId="12105" xr:uid="{5689CED8-C953-4A21-9F3A-F28D5B0C414B}"/>
    <cellStyle name="Note 3 2 2 2 3 3" xfId="5739" xr:uid="{00000000-0005-0000-0000-000058210000}"/>
    <cellStyle name="Note 3 2 2 2 3 3 2" xfId="14178" xr:uid="{8BBDCB30-A74C-4BBF-BF02-21220659DF35}"/>
    <cellStyle name="Note 3 2 2 2 3 4" xfId="9960" xr:uid="{D8079A14-9198-4697-9037-78078DB7EE76}"/>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DC5BEC05-3B8A-42D7-A464-47BA37F96D8B}"/>
    <cellStyle name="Note 3 2 2 2 4 2 3" xfId="12518" xr:uid="{B0C83056-1F4F-4BA9-B92E-FF0F41D4B524}"/>
    <cellStyle name="Note 3 2 2 2 4 3" xfId="6152" xr:uid="{00000000-0005-0000-0000-00005C210000}"/>
    <cellStyle name="Note 3 2 2 2 4 3 2" xfId="14591" xr:uid="{0E292A66-88F3-41FA-A07C-0142A1E76ECD}"/>
    <cellStyle name="Note 3 2 2 2 4 4" xfId="10373" xr:uid="{2D5F84F5-C09A-4936-8E8B-D05E636C2D3A}"/>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149F841E-D97E-4057-B8C6-3A14ABB2CC03}"/>
    <cellStyle name="Note 3 2 2 2 5 2 3" xfId="12931" xr:uid="{D8D7A6A7-EDFE-4CBA-BD12-AF96C2A32C1D}"/>
    <cellStyle name="Note 3 2 2 2 5 3" xfId="6565" xr:uid="{00000000-0005-0000-0000-000060210000}"/>
    <cellStyle name="Note 3 2 2 2 5 3 2" xfId="15004" xr:uid="{D0060E44-4911-4F02-B645-1604B8A410A5}"/>
    <cellStyle name="Note 3 2 2 2 5 4" xfId="10786" xr:uid="{EAB90244-FE08-4DAF-905E-4416A54BEA58}"/>
    <cellStyle name="Note 3 2 2 2 6" xfId="2694" xr:uid="{00000000-0005-0000-0000-000061210000}"/>
    <cellStyle name="Note 3 2 2 2 6 2" xfId="6978" xr:uid="{00000000-0005-0000-0000-000062210000}"/>
    <cellStyle name="Note 3 2 2 2 6 2 2" xfId="15417" xr:uid="{88E020B8-7472-4965-9523-DA54FF5F1680}"/>
    <cellStyle name="Note 3 2 2 2 6 3" xfId="11199" xr:uid="{8E5C8FD6-B980-4E54-B38C-3C4397BA045F}"/>
    <cellStyle name="Note 3 2 2 2 7" xfId="2753" xr:uid="{00000000-0005-0000-0000-000063210000}"/>
    <cellStyle name="Note 3 2 2 2 8" xfId="2834" xr:uid="{00000000-0005-0000-0000-000064210000}"/>
    <cellStyle name="Note 3 2 2 2 8 2" xfId="7058" xr:uid="{00000000-0005-0000-0000-000065210000}"/>
    <cellStyle name="Note 3 2 2 2 8 2 2" xfId="15497" xr:uid="{769233FC-00F6-449B-B384-701F1067A7D3}"/>
    <cellStyle name="Note 3 2 2 2 8 3" xfId="11279" xr:uid="{3F1FADF5-FDDE-49FD-885C-9F380545F5A6}"/>
    <cellStyle name="Note 3 2 2 2 9" xfId="4913" xr:uid="{00000000-0005-0000-0000-000066210000}"/>
    <cellStyle name="Note 3 2 2 2 9 2" xfId="13352" xr:uid="{9B59050D-04CF-4638-A885-1C5888DA4C21}"/>
    <cellStyle name="Note 3 2 2 3" xfId="1015" xr:uid="{00000000-0005-0000-0000-000067210000}"/>
    <cellStyle name="Note 3 2 2 3 2" xfId="3247" xr:uid="{00000000-0005-0000-0000-000068210000}"/>
    <cellStyle name="Note 3 2 2 3 2 2" xfId="7470" xr:uid="{00000000-0005-0000-0000-000069210000}"/>
    <cellStyle name="Note 3 2 2 3 2 2 2" xfId="15909" xr:uid="{3E64CC66-76A8-4343-A9DF-859446947FA8}"/>
    <cellStyle name="Note 3 2 2 3 2 3" xfId="11691" xr:uid="{9C761344-A29C-414D-8E91-6F000028054C}"/>
    <cellStyle name="Note 3 2 2 3 3" xfId="5325" xr:uid="{00000000-0005-0000-0000-00006A210000}"/>
    <cellStyle name="Note 3 2 2 3 3 2" xfId="13764" xr:uid="{19468F26-DA6A-48FD-8316-E060B5EBAE6C}"/>
    <cellStyle name="Note 3 2 2 3 4" xfId="9546" xr:uid="{2DB841ED-51A6-495E-9242-879855B69733}"/>
    <cellStyle name="Note 3 2 2 4" xfId="1430" xr:uid="{00000000-0005-0000-0000-00006B210000}"/>
    <cellStyle name="Note 3 2 2 4 2" xfId="3660" xr:uid="{00000000-0005-0000-0000-00006C210000}"/>
    <cellStyle name="Note 3 2 2 4 2 2" xfId="7883" xr:uid="{00000000-0005-0000-0000-00006D210000}"/>
    <cellStyle name="Note 3 2 2 4 2 2 2" xfId="16322" xr:uid="{DAF8129A-59D8-4F9F-9642-6218C98B0ED4}"/>
    <cellStyle name="Note 3 2 2 4 2 3" xfId="12104" xr:uid="{8E1CAF19-6C23-429B-A8FB-B755B1D5E439}"/>
    <cellStyle name="Note 3 2 2 4 3" xfId="5738" xr:uid="{00000000-0005-0000-0000-00006E210000}"/>
    <cellStyle name="Note 3 2 2 4 3 2" xfId="14177" xr:uid="{9009CA9E-4079-4669-9F44-FDA816513DDE}"/>
    <cellStyle name="Note 3 2 2 4 4" xfId="9959" xr:uid="{707286C4-7CA0-4CF9-AEE8-126DC6FABD9E}"/>
    <cellStyle name="Note 3 2 2 5" xfId="1844" xr:uid="{00000000-0005-0000-0000-00006F210000}"/>
    <cellStyle name="Note 3 2 2 5 2" xfId="4073" xr:uid="{00000000-0005-0000-0000-000070210000}"/>
    <cellStyle name="Note 3 2 2 5 2 2" xfId="8296" xr:uid="{00000000-0005-0000-0000-000071210000}"/>
    <cellStyle name="Note 3 2 2 5 2 2 2" xfId="16735" xr:uid="{7AA1CEAD-89A1-43C6-97E0-EE50D34C98E3}"/>
    <cellStyle name="Note 3 2 2 5 2 3" xfId="12517" xr:uid="{94F5274E-5602-472B-8406-12ADE5E1E5CD}"/>
    <cellStyle name="Note 3 2 2 5 3" xfId="6151" xr:uid="{00000000-0005-0000-0000-000072210000}"/>
    <cellStyle name="Note 3 2 2 5 3 2" xfId="14590" xr:uid="{591EAD01-3685-49BA-8765-02490DA41ABD}"/>
    <cellStyle name="Note 3 2 2 5 4" xfId="10372" xr:uid="{1DB0E7FC-1923-43EC-B59A-B5E2BCF47973}"/>
    <cellStyle name="Note 3 2 2 6" xfId="2257" xr:uid="{00000000-0005-0000-0000-000073210000}"/>
    <cellStyle name="Note 3 2 2 6 2" xfId="4486" xr:uid="{00000000-0005-0000-0000-000074210000}"/>
    <cellStyle name="Note 3 2 2 6 2 2" xfId="8709" xr:uid="{00000000-0005-0000-0000-000075210000}"/>
    <cellStyle name="Note 3 2 2 6 2 2 2" xfId="17148" xr:uid="{1353C49E-2E60-4999-8CC9-94335AA16F7C}"/>
    <cellStyle name="Note 3 2 2 6 2 3" xfId="12930" xr:uid="{24C2ABAE-A58B-4663-B3CA-86F8CB31D054}"/>
    <cellStyle name="Note 3 2 2 6 3" xfId="6564" xr:uid="{00000000-0005-0000-0000-000076210000}"/>
    <cellStyle name="Note 3 2 2 6 3 2" xfId="15003" xr:uid="{B6545CB3-2FA1-4993-9243-8D2D2280CA6D}"/>
    <cellStyle name="Note 3 2 2 6 4" xfId="10785" xr:uid="{5121E501-3050-40DF-B70F-1C78936ADB9F}"/>
    <cellStyle name="Note 3 2 2 7" xfId="2693" xr:uid="{00000000-0005-0000-0000-000077210000}"/>
    <cellStyle name="Note 3 2 2 7 2" xfId="6977" xr:uid="{00000000-0005-0000-0000-000078210000}"/>
    <cellStyle name="Note 3 2 2 7 2 2" xfId="15416" xr:uid="{F18F8C8A-F3E8-4DDC-9B7F-A84ED460FDE6}"/>
    <cellStyle name="Note 3 2 2 7 3" xfId="11198" xr:uid="{1C88A8CD-CF82-4C99-8625-D2818F7CE6C3}"/>
    <cellStyle name="Note 3 2 2 8" xfId="2752" xr:uid="{00000000-0005-0000-0000-000079210000}"/>
    <cellStyle name="Note 3 2 2 9" xfId="2833" xr:uid="{00000000-0005-0000-0000-00007A210000}"/>
    <cellStyle name="Note 3 2 2 9 2" xfId="7057" xr:uid="{00000000-0005-0000-0000-00007B210000}"/>
    <cellStyle name="Note 3 2 2 9 2 2" xfId="15496" xr:uid="{460B0A76-ED47-4806-904F-7E279A69138D}"/>
    <cellStyle name="Note 3 2 2 9 3" xfId="11278" xr:uid="{628B0121-7E01-4A10-B596-FD7088DB711E}"/>
    <cellStyle name="Note 3 2 3" xfId="557" xr:uid="{00000000-0005-0000-0000-00007C210000}"/>
    <cellStyle name="Note 3 2 3 10" xfId="9135" xr:uid="{659FD27F-95E4-4896-A674-A1446D489871}"/>
    <cellStyle name="Note 3 2 3 2" xfId="1017" xr:uid="{00000000-0005-0000-0000-00007D210000}"/>
    <cellStyle name="Note 3 2 3 2 2" xfId="3249" xr:uid="{00000000-0005-0000-0000-00007E210000}"/>
    <cellStyle name="Note 3 2 3 2 2 2" xfId="7472" xr:uid="{00000000-0005-0000-0000-00007F210000}"/>
    <cellStyle name="Note 3 2 3 2 2 2 2" xfId="15911" xr:uid="{DB99E092-2073-4A68-997E-FAC1E38AFF1B}"/>
    <cellStyle name="Note 3 2 3 2 2 3" xfId="11693" xr:uid="{82C4030B-7A88-46B3-9B05-EFE9A771BE86}"/>
    <cellStyle name="Note 3 2 3 2 3" xfId="5327" xr:uid="{00000000-0005-0000-0000-000080210000}"/>
    <cellStyle name="Note 3 2 3 2 3 2" xfId="13766" xr:uid="{647977EB-CDE2-4CA3-B343-B2ACB5CB53BF}"/>
    <cellStyle name="Note 3 2 3 2 4" xfId="9548" xr:uid="{5B6005DA-28AD-4E5F-B454-838BA07D45AB}"/>
    <cellStyle name="Note 3 2 3 3" xfId="1432" xr:uid="{00000000-0005-0000-0000-000081210000}"/>
    <cellStyle name="Note 3 2 3 3 2" xfId="3662" xr:uid="{00000000-0005-0000-0000-000082210000}"/>
    <cellStyle name="Note 3 2 3 3 2 2" xfId="7885" xr:uid="{00000000-0005-0000-0000-000083210000}"/>
    <cellStyle name="Note 3 2 3 3 2 2 2" xfId="16324" xr:uid="{D80E009D-A487-4BDB-A8DB-0CB8CDB23268}"/>
    <cellStyle name="Note 3 2 3 3 2 3" xfId="12106" xr:uid="{A0265571-6578-42F8-B7C0-0FE4D169F6DA}"/>
    <cellStyle name="Note 3 2 3 3 3" xfId="5740" xr:uid="{00000000-0005-0000-0000-000084210000}"/>
    <cellStyle name="Note 3 2 3 3 3 2" xfId="14179" xr:uid="{95813C3A-526F-4FF5-A619-AB9936DAD413}"/>
    <cellStyle name="Note 3 2 3 3 4" xfId="9961" xr:uid="{89115D66-CCB2-4316-BBB7-6F2DE0339400}"/>
    <cellStyle name="Note 3 2 3 4" xfId="1846" xr:uid="{00000000-0005-0000-0000-000085210000}"/>
    <cellStyle name="Note 3 2 3 4 2" xfId="4075" xr:uid="{00000000-0005-0000-0000-000086210000}"/>
    <cellStyle name="Note 3 2 3 4 2 2" xfId="8298" xr:uid="{00000000-0005-0000-0000-000087210000}"/>
    <cellStyle name="Note 3 2 3 4 2 2 2" xfId="16737" xr:uid="{374B1502-FC4C-4997-9E97-7D34A04947B2}"/>
    <cellStyle name="Note 3 2 3 4 2 3" xfId="12519" xr:uid="{CD450D52-2245-4583-BD10-1BCAC9553B59}"/>
    <cellStyle name="Note 3 2 3 4 3" xfId="6153" xr:uid="{00000000-0005-0000-0000-000088210000}"/>
    <cellStyle name="Note 3 2 3 4 3 2" xfId="14592" xr:uid="{C7E3BC09-9177-4803-B962-B1EEF5FD4DA7}"/>
    <cellStyle name="Note 3 2 3 4 4" xfId="10374" xr:uid="{87841D31-8122-4947-82CB-B9FC66142940}"/>
    <cellStyle name="Note 3 2 3 5" xfId="2259" xr:uid="{00000000-0005-0000-0000-000089210000}"/>
    <cellStyle name="Note 3 2 3 5 2" xfId="4488" xr:uid="{00000000-0005-0000-0000-00008A210000}"/>
    <cellStyle name="Note 3 2 3 5 2 2" xfId="8711" xr:uid="{00000000-0005-0000-0000-00008B210000}"/>
    <cellStyle name="Note 3 2 3 5 2 2 2" xfId="17150" xr:uid="{D2EA060C-ACBB-4F59-AD38-73BDE8B67133}"/>
    <cellStyle name="Note 3 2 3 5 2 3" xfId="12932" xr:uid="{6BE6D9EF-F23D-41F4-B4A9-F77BBC8E274E}"/>
    <cellStyle name="Note 3 2 3 5 3" xfId="6566" xr:uid="{00000000-0005-0000-0000-00008C210000}"/>
    <cellStyle name="Note 3 2 3 5 3 2" xfId="15005" xr:uid="{513DF122-0251-4DEE-BBE1-1DAF770CE170}"/>
    <cellStyle name="Note 3 2 3 5 4" xfId="10787" xr:uid="{0D87CA25-0449-40AA-B1F7-6E4FE712ACAC}"/>
    <cellStyle name="Note 3 2 3 6" xfId="2695" xr:uid="{00000000-0005-0000-0000-00008D210000}"/>
    <cellStyle name="Note 3 2 3 6 2" xfId="6979" xr:uid="{00000000-0005-0000-0000-00008E210000}"/>
    <cellStyle name="Note 3 2 3 6 2 2" xfId="15418" xr:uid="{054B3C77-9214-44C3-B308-B0C6DE9ECB38}"/>
    <cellStyle name="Note 3 2 3 6 3" xfId="11200" xr:uid="{DCF2C73C-22B6-405B-AF16-AC78808D1FD3}"/>
    <cellStyle name="Note 3 2 3 7" xfId="2754" xr:uid="{00000000-0005-0000-0000-00008F210000}"/>
    <cellStyle name="Note 3 2 3 8" xfId="2835" xr:uid="{00000000-0005-0000-0000-000090210000}"/>
    <cellStyle name="Note 3 2 3 8 2" xfId="7059" xr:uid="{00000000-0005-0000-0000-000091210000}"/>
    <cellStyle name="Note 3 2 3 8 2 2" xfId="15498" xr:uid="{73537888-CE2E-435C-A147-E3EDDEC6183A}"/>
    <cellStyle name="Note 3 2 3 8 3" xfId="11280" xr:uid="{F4F6D79D-CB97-4402-97EA-66629DA26B43}"/>
    <cellStyle name="Note 3 2 3 9" xfId="4914" xr:uid="{00000000-0005-0000-0000-000092210000}"/>
    <cellStyle name="Note 3 2 3 9 2" xfId="13353" xr:uid="{57ACF722-D558-4D8B-86E7-3E7B4F84AED5}"/>
    <cellStyle name="Note 3 2 4" xfId="1014" xr:uid="{00000000-0005-0000-0000-000093210000}"/>
    <cellStyle name="Note 3 2 4 2" xfId="3246" xr:uid="{00000000-0005-0000-0000-000094210000}"/>
    <cellStyle name="Note 3 2 4 2 2" xfId="7469" xr:uid="{00000000-0005-0000-0000-000095210000}"/>
    <cellStyle name="Note 3 2 4 2 2 2" xfId="15908" xr:uid="{88645E22-659A-4F7D-B300-F040DCA23875}"/>
    <cellStyle name="Note 3 2 4 2 3" xfId="11690" xr:uid="{6189EE75-EEC9-4551-B9F2-AE631755C421}"/>
    <cellStyle name="Note 3 2 4 3" xfId="5324" xr:uid="{00000000-0005-0000-0000-000096210000}"/>
    <cellStyle name="Note 3 2 4 3 2" xfId="13763" xr:uid="{88D8E154-8F0B-423F-A1F3-84CA64DB5F1A}"/>
    <cellStyle name="Note 3 2 4 4" xfId="9545" xr:uid="{B1BAD26E-9A51-48FF-8165-5E16877C987A}"/>
    <cellStyle name="Note 3 2 5" xfId="1429" xr:uid="{00000000-0005-0000-0000-000097210000}"/>
    <cellStyle name="Note 3 2 5 2" xfId="3659" xr:uid="{00000000-0005-0000-0000-000098210000}"/>
    <cellStyle name="Note 3 2 5 2 2" xfId="7882" xr:uid="{00000000-0005-0000-0000-000099210000}"/>
    <cellStyle name="Note 3 2 5 2 2 2" xfId="16321" xr:uid="{24D34880-6ECF-49DB-A02B-3438B175F3FA}"/>
    <cellStyle name="Note 3 2 5 2 3" xfId="12103" xr:uid="{1BB2185F-8704-4276-A8E6-B0F1E9F627C6}"/>
    <cellStyle name="Note 3 2 5 3" xfId="5737" xr:uid="{00000000-0005-0000-0000-00009A210000}"/>
    <cellStyle name="Note 3 2 5 3 2" xfId="14176" xr:uid="{5D6F4052-5B73-49A4-B7CF-105137F522CD}"/>
    <cellStyle name="Note 3 2 5 4" xfId="9958" xr:uid="{E2AF005B-C24A-4C78-A501-B263E75C08B9}"/>
    <cellStyle name="Note 3 2 6" xfId="1843" xr:uid="{00000000-0005-0000-0000-00009B210000}"/>
    <cellStyle name="Note 3 2 6 2" xfId="4072" xr:uid="{00000000-0005-0000-0000-00009C210000}"/>
    <cellStyle name="Note 3 2 6 2 2" xfId="8295" xr:uid="{00000000-0005-0000-0000-00009D210000}"/>
    <cellStyle name="Note 3 2 6 2 2 2" xfId="16734" xr:uid="{4B2758E5-FFBD-49C8-AA5F-9FAABBE040C6}"/>
    <cellStyle name="Note 3 2 6 2 3" xfId="12516" xr:uid="{BDA45E2F-0798-4612-8EB8-DF29CE9C99DE}"/>
    <cellStyle name="Note 3 2 6 3" xfId="6150" xr:uid="{00000000-0005-0000-0000-00009E210000}"/>
    <cellStyle name="Note 3 2 6 3 2" xfId="14589" xr:uid="{0EFD34E3-1418-44E2-AECD-9CFAB46618EA}"/>
    <cellStyle name="Note 3 2 6 4" xfId="10371" xr:uid="{63BBF006-B7D3-44F5-ABA3-E7CFC5FD220A}"/>
    <cellStyle name="Note 3 2 7" xfId="2256" xr:uid="{00000000-0005-0000-0000-00009F210000}"/>
    <cellStyle name="Note 3 2 7 2" xfId="4485" xr:uid="{00000000-0005-0000-0000-0000A0210000}"/>
    <cellStyle name="Note 3 2 7 2 2" xfId="8708" xr:uid="{00000000-0005-0000-0000-0000A1210000}"/>
    <cellStyle name="Note 3 2 7 2 2 2" xfId="17147" xr:uid="{B1F75457-7E01-4C9E-BF56-8C5A8AFB98C9}"/>
    <cellStyle name="Note 3 2 7 2 3" xfId="12929" xr:uid="{66F8F8C7-AE03-4EFD-8017-D829B45A1C1D}"/>
    <cellStyle name="Note 3 2 7 3" xfId="6563" xr:uid="{00000000-0005-0000-0000-0000A2210000}"/>
    <cellStyle name="Note 3 2 7 3 2" xfId="15002" xr:uid="{370130D8-77C0-4C7D-9536-87B8BFD3E572}"/>
    <cellStyle name="Note 3 2 7 4" xfId="10784" xr:uid="{E2FEC0AC-319A-4881-A449-874E161CE680}"/>
    <cellStyle name="Note 3 2 8" xfId="2692" xr:uid="{00000000-0005-0000-0000-0000A3210000}"/>
    <cellStyle name="Note 3 2 8 2" xfId="6976" xr:uid="{00000000-0005-0000-0000-0000A4210000}"/>
    <cellStyle name="Note 3 2 8 2 2" xfId="15415" xr:uid="{36244C06-4C71-4D5C-B635-B69E1E0ACD89}"/>
    <cellStyle name="Note 3 2 8 3" xfId="11197" xr:uid="{E4D38C40-34E4-4C1B-9F9D-86F169AA7882}"/>
    <cellStyle name="Note 3 2 9" xfId="2751" xr:uid="{00000000-0005-0000-0000-0000A5210000}"/>
    <cellStyle name="Note 3 3" xfId="558" xr:uid="{00000000-0005-0000-0000-0000A6210000}"/>
    <cellStyle name="Note 3 3 10" xfId="4915" xr:uid="{00000000-0005-0000-0000-0000A7210000}"/>
    <cellStyle name="Note 3 3 10 2" xfId="13354" xr:uid="{C5025ACD-DFC6-43C2-829B-7CC23710DAAB}"/>
    <cellStyle name="Note 3 3 11" xfId="9136" xr:uid="{00088FE1-91D0-483F-9766-1BCC8E9589B5}"/>
    <cellStyle name="Note 3 3 2" xfId="559" xr:uid="{00000000-0005-0000-0000-0000A8210000}"/>
    <cellStyle name="Note 3 3 2 10" xfId="9137" xr:uid="{41BEBEF6-3545-4F12-9CBF-2788E3F95E0A}"/>
    <cellStyle name="Note 3 3 2 2" xfId="1019" xr:uid="{00000000-0005-0000-0000-0000A9210000}"/>
    <cellStyle name="Note 3 3 2 2 2" xfId="3251" xr:uid="{00000000-0005-0000-0000-0000AA210000}"/>
    <cellStyle name="Note 3 3 2 2 2 2" xfId="7474" xr:uid="{00000000-0005-0000-0000-0000AB210000}"/>
    <cellStyle name="Note 3 3 2 2 2 2 2" xfId="15913" xr:uid="{AF568469-1FB6-4342-85D3-9F1B356B6F6F}"/>
    <cellStyle name="Note 3 3 2 2 2 3" xfId="11695" xr:uid="{ED0B537A-67BD-48CC-876C-AB9BA18CBDDF}"/>
    <cellStyle name="Note 3 3 2 2 3" xfId="5329" xr:uid="{00000000-0005-0000-0000-0000AC210000}"/>
    <cellStyle name="Note 3 3 2 2 3 2" xfId="13768" xr:uid="{52C44250-EC53-44F4-8D5B-DB645C6AF2AD}"/>
    <cellStyle name="Note 3 3 2 2 4" xfId="9550" xr:uid="{AA9074E2-55EE-4AAC-8707-81F78454E8B1}"/>
    <cellStyle name="Note 3 3 2 3" xfId="1434" xr:uid="{00000000-0005-0000-0000-0000AD210000}"/>
    <cellStyle name="Note 3 3 2 3 2" xfId="3664" xr:uid="{00000000-0005-0000-0000-0000AE210000}"/>
    <cellStyle name="Note 3 3 2 3 2 2" xfId="7887" xr:uid="{00000000-0005-0000-0000-0000AF210000}"/>
    <cellStyle name="Note 3 3 2 3 2 2 2" xfId="16326" xr:uid="{9B21940F-BF49-417D-BB27-D6C44F70621E}"/>
    <cellStyle name="Note 3 3 2 3 2 3" xfId="12108" xr:uid="{E24B2373-7B7C-4442-B4CD-A0450F71D3EB}"/>
    <cellStyle name="Note 3 3 2 3 3" xfId="5742" xr:uid="{00000000-0005-0000-0000-0000B0210000}"/>
    <cellStyle name="Note 3 3 2 3 3 2" xfId="14181" xr:uid="{96D24D4D-696A-43CB-8B3F-95F131644321}"/>
    <cellStyle name="Note 3 3 2 3 4" xfId="9963" xr:uid="{D66909BA-3242-45C5-A1F2-21FE8EFC164B}"/>
    <cellStyle name="Note 3 3 2 4" xfId="1848" xr:uid="{00000000-0005-0000-0000-0000B1210000}"/>
    <cellStyle name="Note 3 3 2 4 2" xfId="4077" xr:uid="{00000000-0005-0000-0000-0000B2210000}"/>
    <cellStyle name="Note 3 3 2 4 2 2" xfId="8300" xr:uid="{00000000-0005-0000-0000-0000B3210000}"/>
    <cellStyle name="Note 3 3 2 4 2 2 2" xfId="16739" xr:uid="{EDA6EBB3-3C06-4662-8081-B130EC1DCA62}"/>
    <cellStyle name="Note 3 3 2 4 2 3" xfId="12521" xr:uid="{B8E50BB0-AF7B-4A2C-8939-D0F91216CC61}"/>
    <cellStyle name="Note 3 3 2 4 3" xfId="6155" xr:uid="{00000000-0005-0000-0000-0000B4210000}"/>
    <cellStyle name="Note 3 3 2 4 3 2" xfId="14594" xr:uid="{C8FE7067-6158-4114-8E45-5ECC30C02E2F}"/>
    <cellStyle name="Note 3 3 2 4 4" xfId="10376" xr:uid="{AAD8EE42-8453-4147-BCB0-FF8AF0FEC272}"/>
    <cellStyle name="Note 3 3 2 5" xfId="2261" xr:uid="{00000000-0005-0000-0000-0000B5210000}"/>
    <cellStyle name="Note 3 3 2 5 2" xfId="4490" xr:uid="{00000000-0005-0000-0000-0000B6210000}"/>
    <cellStyle name="Note 3 3 2 5 2 2" xfId="8713" xr:uid="{00000000-0005-0000-0000-0000B7210000}"/>
    <cellStyle name="Note 3 3 2 5 2 2 2" xfId="17152" xr:uid="{105E3BFE-A8FC-4177-AA8E-875F2000BBF9}"/>
    <cellStyle name="Note 3 3 2 5 2 3" xfId="12934" xr:uid="{3DE19CFF-A1AB-490D-91B4-302ED38D77E5}"/>
    <cellStyle name="Note 3 3 2 5 3" xfId="6568" xr:uid="{00000000-0005-0000-0000-0000B8210000}"/>
    <cellStyle name="Note 3 3 2 5 3 2" xfId="15007" xr:uid="{580E8A50-F7D5-4918-A7EF-6F20D12C024F}"/>
    <cellStyle name="Note 3 3 2 5 4" xfId="10789" xr:uid="{0B73DC1B-A5C4-44EF-A419-5B90A1F213C5}"/>
    <cellStyle name="Note 3 3 2 6" xfId="2697" xr:uid="{00000000-0005-0000-0000-0000B9210000}"/>
    <cellStyle name="Note 3 3 2 6 2" xfId="6981" xr:uid="{00000000-0005-0000-0000-0000BA210000}"/>
    <cellStyle name="Note 3 3 2 6 2 2" xfId="15420" xr:uid="{32E52141-134D-4C5A-8E55-DF7DEBE103E4}"/>
    <cellStyle name="Note 3 3 2 6 3" xfId="11202" xr:uid="{3C54EF4A-B5C2-4E98-A159-2EBB2955D2B6}"/>
    <cellStyle name="Note 3 3 2 7" xfId="2756" xr:uid="{00000000-0005-0000-0000-0000BB210000}"/>
    <cellStyle name="Note 3 3 2 8" xfId="2837" xr:uid="{00000000-0005-0000-0000-0000BC210000}"/>
    <cellStyle name="Note 3 3 2 8 2" xfId="7061" xr:uid="{00000000-0005-0000-0000-0000BD210000}"/>
    <cellStyle name="Note 3 3 2 8 2 2" xfId="15500" xr:uid="{13F32A4A-2A70-49A7-BB88-B4CDD8E65977}"/>
    <cellStyle name="Note 3 3 2 8 3" xfId="11282" xr:uid="{11FA670A-76E4-45AD-B377-9017F80AD913}"/>
    <cellStyle name="Note 3 3 2 9" xfId="4916" xr:uid="{00000000-0005-0000-0000-0000BE210000}"/>
    <cellStyle name="Note 3 3 2 9 2" xfId="13355" xr:uid="{CE9218C1-6709-477A-B95C-9F1F1D09ADC0}"/>
    <cellStyle name="Note 3 3 3" xfId="1018" xr:uid="{00000000-0005-0000-0000-0000BF210000}"/>
    <cellStyle name="Note 3 3 3 2" xfId="3250" xr:uid="{00000000-0005-0000-0000-0000C0210000}"/>
    <cellStyle name="Note 3 3 3 2 2" xfId="7473" xr:uid="{00000000-0005-0000-0000-0000C1210000}"/>
    <cellStyle name="Note 3 3 3 2 2 2" xfId="15912" xr:uid="{D980D0D1-A702-4E40-9FB7-7362DE01002E}"/>
    <cellStyle name="Note 3 3 3 2 3" xfId="11694" xr:uid="{BC91E1C8-085B-4E6D-8E6D-F2EE09FE12A8}"/>
    <cellStyle name="Note 3 3 3 3" xfId="5328" xr:uid="{00000000-0005-0000-0000-0000C2210000}"/>
    <cellStyle name="Note 3 3 3 3 2" xfId="13767" xr:uid="{C79DA3EA-27D4-411D-BCF6-34227AC393AB}"/>
    <cellStyle name="Note 3 3 3 4" xfId="9549" xr:uid="{D82D530D-0173-41D6-9CE9-294A6A496258}"/>
    <cellStyle name="Note 3 3 4" xfId="1433" xr:uid="{00000000-0005-0000-0000-0000C3210000}"/>
    <cellStyle name="Note 3 3 4 2" xfId="3663" xr:uid="{00000000-0005-0000-0000-0000C4210000}"/>
    <cellStyle name="Note 3 3 4 2 2" xfId="7886" xr:uid="{00000000-0005-0000-0000-0000C5210000}"/>
    <cellStyle name="Note 3 3 4 2 2 2" xfId="16325" xr:uid="{E693C663-56F5-4506-AE8B-87CE73937A6F}"/>
    <cellStyle name="Note 3 3 4 2 3" xfId="12107" xr:uid="{38D82A3C-C7D6-489E-A251-39D6BE3448F1}"/>
    <cellStyle name="Note 3 3 4 3" xfId="5741" xr:uid="{00000000-0005-0000-0000-0000C6210000}"/>
    <cellStyle name="Note 3 3 4 3 2" xfId="14180" xr:uid="{732DC472-F628-45CB-9011-18F67D503A0E}"/>
    <cellStyle name="Note 3 3 4 4" xfId="9962" xr:uid="{26B8823D-6D9C-4A2C-802B-FE41F477F378}"/>
    <cellStyle name="Note 3 3 5" xfId="1847" xr:uid="{00000000-0005-0000-0000-0000C7210000}"/>
    <cellStyle name="Note 3 3 5 2" xfId="4076" xr:uid="{00000000-0005-0000-0000-0000C8210000}"/>
    <cellStyle name="Note 3 3 5 2 2" xfId="8299" xr:uid="{00000000-0005-0000-0000-0000C9210000}"/>
    <cellStyle name="Note 3 3 5 2 2 2" xfId="16738" xr:uid="{B9ED3E52-87AF-4763-ACE5-D03D10758C13}"/>
    <cellStyle name="Note 3 3 5 2 3" xfId="12520" xr:uid="{C1129CA3-DEFC-4EB0-BE7D-97F4DADF4432}"/>
    <cellStyle name="Note 3 3 5 3" xfId="6154" xr:uid="{00000000-0005-0000-0000-0000CA210000}"/>
    <cellStyle name="Note 3 3 5 3 2" xfId="14593" xr:uid="{D0B8827B-5A17-4F46-95C9-B5B933DA3E0F}"/>
    <cellStyle name="Note 3 3 5 4" xfId="10375" xr:uid="{8F245F3E-C582-423D-B328-753BF564D274}"/>
    <cellStyle name="Note 3 3 6" xfId="2260" xr:uid="{00000000-0005-0000-0000-0000CB210000}"/>
    <cellStyle name="Note 3 3 6 2" xfId="4489" xr:uid="{00000000-0005-0000-0000-0000CC210000}"/>
    <cellStyle name="Note 3 3 6 2 2" xfId="8712" xr:uid="{00000000-0005-0000-0000-0000CD210000}"/>
    <cellStyle name="Note 3 3 6 2 2 2" xfId="17151" xr:uid="{6D8D47DC-F078-444C-B1E8-DA93E2049F09}"/>
    <cellStyle name="Note 3 3 6 2 3" xfId="12933" xr:uid="{4C443F43-277F-4163-889D-2155426E055D}"/>
    <cellStyle name="Note 3 3 6 3" xfId="6567" xr:uid="{00000000-0005-0000-0000-0000CE210000}"/>
    <cellStyle name="Note 3 3 6 3 2" xfId="15006" xr:uid="{E3A1C9FE-97C0-4D93-BE2D-7423EF7273AF}"/>
    <cellStyle name="Note 3 3 6 4" xfId="10788" xr:uid="{8985A183-C1A2-4A3F-A93D-5DF320770C19}"/>
    <cellStyle name="Note 3 3 7" xfId="2696" xr:uid="{00000000-0005-0000-0000-0000CF210000}"/>
    <cellStyle name="Note 3 3 7 2" xfId="6980" xr:uid="{00000000-0005-0000-0000-0000D0210000}"/>
    <cellStyle name="Note 3 3 7 2 2" xfId="15419" xr:uid="{D6B8771D-0703-4E75-8810-DD358BAC14CB}"/>
    <cellStyle name="Note 3 3 7 3" xfId="11201" xr:uid="{13D8CBAE-F78A-4D98-B7B2-993B6F057326}"/>
    <cellStyle name="Note 3 3 8" xfId="2755" xr:uid="{00000000-0005-0000-0000-0000D1210000}"/>
    <cellStyle name="Note 3 3 9" xfId="2836" xr:uid="{00000000-0005-0000-0000-0000D2210000}"/>
    <cellStyle name="Note 3 3 9 2" xfId="7060" xr:uid="{00000000-0005-0000-0000-0000D3210000}"/>
    <cellStyle name="Note 3 3 9 2 2" xfId="15499" xr:uid="{4FD5CB29-A50A-4FDB-8D9A-7A463192412D}"/>
    <cellStyle name="Note 3 3 9 3" xfId="11281" xr:uid="{E43CE5F9-D6BA-4C69-AAB9-2A906428BE78}"/>
    <cellStyle name="Note 3 4" xfId="560" xr:uid="{00000000-0005-0000-0000-0000D4210000}"/>
    <cellStyle name="Note 3 4 10" xfId="9138" xr:uid="{7E372370-34C4-4EFC-9448-0BAC0CEF312B}"/>
    <cellStyle name="Note 3 4 2" xfId="1020" xr:uid="{00000000-0005-0000-0000-0000D5210000}"/>
    <cellStyle name="Note 3 4 2 2" xfId="3252" xr:uid="{00000000-0005-0000-0000-0000D6210000}"/>
    <cellStyle name="Note 3 4 2 2 2" xfId="7475" xr:uid="{00000000-0005-0000-0000-0000D7210000}"/>
    <cellStyle name="Note 3 4 2 2 2 2" xfId="15914" xr:uid="{0E51A35A-D727-4ABC-BDDE-85DD9671FFEA}"/>
    <cellStyle name="Note 3 4 2 2 3" xfId="11696" xr:uid="{0B4E9508-B4F8-4ABD-9C90-4E1A2E56D000}"/>
    <cellStyle name="Note 3 4 2 3" xfId="5330" xr:uid="{00000000-0005-0000-0000-0000D8210000}"/>
    <cellStyle name="Note 3 4 2 3 2" xfId="13769" xr:uid="{063F2DA4-48E6-4798-956F-16D46885D5CE}"/>
    <cellStyle name="Note 3 4 2 4" xfId="9551" xr:uid="{F4620873-BCF5-4DC0-9DA3-23C8B5973D56}"/>
    <cellStyle name="Note 3 4 3" xfId="1435" xr:uid="{00000000-0005-0000-0000-0000D9210000}"/>
    <cellStyle name="Note 3 4 3 2" xfId="3665" xr:uid="{00000000-0005-0000-0000-0000DA210000}"/>
    <cellStyle name="Note 3 4 3 2 2" xfId="7888" xr:uid="{00000000-0005-0000-0000-0000DB210000}"/>
    <cellStyle name="Note 3 4 3 2 2 2" xfId="16327" xr:uid="{1439AD37-C9B3-4195-AC3F-2E90B6921F2B}"/>
    <cellStyle name="Note 3 4 3 2 3" xfId="12109" xr:uid="{4E5D894C-3685-451F-8628-27F6705CB729}"/>
    <cellStyle name="Note 3 4 3 3" xfId="5743" xr:uid="{00000000-0005-0000-0000-0000DC210000}"/>
    <cellStyle name="Note 3 4 3 3 2" xfId="14182" xr:uid="{47A89641-011C-4CC7-BA19-F167A471F98A}"/>
    <cellStyle name="Note 3 4 3 4" xfId="9964" xr:uid="{6082A658-5AF4-4979-AC30-65167881F3BA}"/>
    <cellStyle name="Note 3 4 4" xfId="1849" xr:uid="{00000000-0005-0000-0000-0000DD210000}"/>
    <cellStyle name="Note 3 4 4 2" xfId="4078" xr:uid="{00000000-0005-0000-0000-0000DE210000}"/>
    <cellStyle name="Note 3 4 4 2 2" xfId="8301" xr:uid="{00000000-0005-0000-0000-0000DF210000}"/>
    <cellStyle name="Note 3 4 4 2 2 2" xfId="16740" xr:uid="{D504A932-5B01-4039-B826-721E05935257}"/>
    <cellStyle name="Note 3 4 4 2 3" xfId="12522" xr:uid="{6879AC40-3B3B-40E2-988B-CCA828670C13}"/>
    <cellStyle name="Note 3 4 4 3" xfId="6156" xr:uid="{00000000-0005-0000-0000-0000E0210000}"/>
    <cellStyle name="Note 3 4 4 3 2" xfId="14595" xr:uid="{6A59087F-7F95-4A8D-895E-51C31F7772C7}"/>
    <cellStyle name="Note 3 4 4 4" xfId="10377" xr:uid="{B3DDB859-CE69-4851-9131-7401DA7BFA38}"/>
    <cellStyle name="Note 3 4 5" xfId="2262" xr:uid="{00000000-0005-0000-0000-0000E1210000}"/>
    <cellStyle name="Note 3 4 5 2" xfId="4491" xr:uid="{00000000-0005-0000-0000-0000E2210000}"/>
    <cellStyle name="Note 3 4 5 2 2" xfId="8714" xr:uid="{00000000-0005-0000-0000-0000E3210000}"/>
    <cellStyle name="Note 3 4 5 2 2 2" xfId="17153" xr:uid="{79AA3BD9-9807-4A89-A73E-378010381F12}"/>
    <cellStyle name="Note 3 4 5 2 3" xfId="12935" xr:uid="{DD0C6A8C-B9C1-46D6-BFE2-DBB89411E1FA}"/>
    <cellStyle name="Note 3 4 5 3" xfId="6569" xr:uid="{00000000-0005-0000-0000-0000E4210000}"/>
    <cellStyle name="Note 3 4 5 3 2" xfId="15008" xr:uid="{9A5BDA34-B1B6-4BA5-9E6D-3B7AB7BBA7E4}"/>
    <cellStyle name="Note 3 4 5 4" xfId="10790" xr:uid="{EE3A9052-F03D-4E9F-BA0B-FAEB15512A55}"/>
    <cellStyle name="Note 3 4 6" xfId="2698" xr:uid="{00000000-0005-0000-0000-0000E5210000}"/>
    <cellStyle name="Note 3 4 6 2" xfId="6982" xr:uid="{00000000-0005-0000-0000-0000E6210000}"/>
    <cellStyle name="Note 3 4 6 2 2" xfId="15421" xr:uid="{6872A222-1FEF-4B9D-8378-45480533A17F}"/>
    <cellStyle name="Note 3 4 6 3" xfId="11203" xr:uid="{85DCD3AD-4B5A-43F0-83F8-72F42B2C1F9F}"/>
    <cellStyle name="Note 3 4 7" xfId="2757" xr:uid="{00000000-0005-0000-0000-0000E7210000}"/>
    <cellStyle name="Note 3 4 8" xfId="2838" xr:uid="{00000000-0005-0000-0000-0000E8210000}"/>
    <cellStyle name="Note 3 4 8 2" xfId="7062" xr:uid="{00000000-0005-0000-0000-0000E9210000}"/>
    <cellStyle name="Note 3 4 8 2 2" xfId="15501" xr:uid="{7B349B92-300C-4754-AD7E-1F934DE3DB2E}"/>
    <cellStyle name="Note 3 4 8 3" xfId="11283" xr:uid="{7293E40F-3FD8-4381-B5F1-4270D45B447B}"/>
    <cellStyle name="Note 3 4 9" xfId="4917" xr:uid="{00000000-0005-0000-0000-0000EA210000}"/>
    <cellStyle name="Note 3 4 9 2" xfId="13356" xr:uid="{54AF98FA-587C-4B65-8A05-DE985633E9D9}"/>
    <cellStyle name="Note 3 5" xfId="561" xr:uid="{00000000-0005-0000-0000-0000EB210000}"/>
    <cellStyle name="Note 3 5 10" xfId="9139" xr:uid="{2953F5B5-98A8-4E6E-9218-5CCF017FDC63}"/>
    <cellStyle name="Note 3 5 2" xfId="1021" xr:uid="{00000000-0005-0000-0000-0000EC210000}"/>
    <cellStyle name="Note 3 5 2 2" xfId="3253" xr:uid="{00000000-0005-0000-0000-0000ED210000}"/>
    <cellStyle name="Note 3 5 2 2 2" xfId="7476" xr:uid="{00000000-0005-0000-0000-0000EE210000}"/>
    <cellStyle name="Note 3 5 2 2 2 2" xfId="15915" xr:uid="{10F5F376-15B6-475A-8C03-BF08222619A0}"/>
    <cellStyle name="Note 3 5 2 2 3" xfId="11697" xr:uid="{BF7D6174-7CC7-4719-B9B3-0FDA39A41CF5}"/>
    <cellStyle name="Note 3 5 2 3" xfId="5331" xr:uid="{00000000-0005-0000-0000-0000EF210000}"/>
    <cellStyle name="Note 3 5 2 3 2" xfId="13770" xr:uid="{3C5B2CA3-B74C-49BF-8B50-93E789FB18CC}"/>
    <cellStyle name="Note 3 5 2 4" xfId="9552" xr:uid="{7C7DF424-124B-4AC3-A2C5-6779E7A93B2C}"/>
    <cellStyle name="Note 3 5 3" xfId="1436" xr:uid="{00000000-0005-0000-0000-0000F0210000}"/>
    <cellStyle name="Note 3 5 3 2" xfId="3666" xr:uid="{00000000-0005-0000-0000-0000F1210000}"/>
    <cellStyle name="Note 3 5 3 2 2" xfId="7889" xr:uid="{00000000-0005-0000-0000-0000F2210000}"/>
    <cellStyle name="Note 3 5 3 2 2 2" xfId="16328" xr:uid="{F8B8AB82-546E-46B7-A081-390B77FBEF5E}"/>
    <cellStyle name="Note 3 5 3 2 3" xfId="12110" xr:uid="{007CDEE6-F109-41B8-B7D8-C7F605A4350A}"/>
    <cellStyle name="Note 3 5 3 3" xfId="5744" xr:uid="{00000000-0005-0000-0000-0000F3210000}"/>
    <cellStyle name="Note 3 5 3 3 2" xfId="14183" xr:uid="{1EE15611-EB8A-4B21-A192-A3C57C4EB242}"/>
    <cellStyle name="Note 3 5 3 4" xfId="9965" xr:uid="{D1158016-55F2-40B6-B1DF-7DCC47072A01}"/>
    <cellStyle name="Note 3 5 4" xfId="1850" xr:uid="{00000000-0005-0000-0000-0000F4210000}"/>
    <cellStyle name="Note 3 5 4 2" xfId="4079" xr:uid="{00000000-0005-0000-0000-0000F5210000}"/>
    <cellStyle name="Note 3 5 4 2 2" xfId="8302" xr:uid="{00000000-0005-0000-0000-0000F6210000}"/>
    <cellStyle name="Note 3 5 4 2 2 2" xfId="16741" xr:uid="{7DDFBD84-60DB-47FF-9743-7BD695DB2D50}"/>
    <cellStyle name="Note 3 5 4 2 3" xfId="12523" xr:uid="{6AEBAC87-23F9-45B2-A553-477844610BF2}"/>
    <cellStyle name="Note 3 5 4 3" xfId="6157" xr:uid="{00000000-0005-0000-0000-0000F7210000}"/>
    <cellStyle name="Note 3 5 4 3 2" xfId="14596" xr:uid="{B0AC427C-1806-483D-8E20-5D216357EF58}"/>
    <cellStyle name="Note 3 5 4 4" xfId="10378" xr:uid="{9B9D0837-7B69-4DE1-A8CC-C89007CAE594}"/>
    <cellStyle name="Note 3 5 5" xfId="2263" xr:uid="{00000000-0005-0000-0000-0000F8210000}"/>
    <cellStyle name="Note 3 5 5 2" xfId="4492" xr:uid="{00000000-0005-0000-0000-0000F9210000}"/>
    <cellStyle name="Note 3 5 5 2 2" xfId="8715" xr:uid="{00000000-0005-0000-0000-0000FA210000}"/>
    <cellStyle name="Note 3 5 5 2 2 2" xfId="17154" xr:uid="{69616E04-F95B-48CD-99A6-031A54FC4C09}"/>
    <cellStyle name="Note 3 5 5 2 3" xfId="12936" xr:uid="{50ECDA38-4150-4CA0-8A98-8321F9671A9E}"/>
    <cellStyle name="Note 3 5 5 3" xfId="6570" xr:uid="{00000000-0005-0000-0000-0000FB210000}"/>
    <cellStyle name="Note 3 5 5 3 2" xfId="15009" xr:uid="{02A2C724-25AA-4FA8-9106-8671E957EA34}"/>
    <cellStyle name="Note 3 5 5 4" xfId="10791" xr:uid="{419EF2F8-0193-47DD-8B41-B8BECE4F0AC9}"/>
    <cellStyle name="Note 3 5 6" xfId="2699" xr:uid="{00000000-0005-0000-0000-0000FC210000}"/>
    <cellStyle name="Note 3 5 6 2" xfId="6983" xr:uid="{00000000-0005-0000-0000-0000FD210000}"/>
    <cellStyle name="Note 3 5 6 2 2" xfId="15422" xr:uid="{B9BD8607-925A-493E-B10A-42CD3CC079B4}"/>
    <cellStyle name="Note 3 5 6 3" xfId="11204" xr:uid="{46457AF2-ECAD-4C95-9D9E-1914572B1664}"/>
    <cellStyle name="Note 3 5 7" xfId="2758" xr:uid="{00000000-0005-0000-0000-0000FE210000}"/>
    <cellStyle name="Note 3 5 8" xfId="2839" xr:uid="{00000000-0005-0000-0000-0000FF210000}"/>
    <cellStyle name="Note 3 5 8 2" xfId="7063" xr:uid="{00000000-0005-0000-0000-000000220000}"/>
    <cellStyle name="Note 3 5 8 2 2" xfId="15502" xr:uid="{7F6AD30C-4AF3-42E5-B158-1D03CD631EA9}"/>
    <cellStyle name="Note 3 5 8 3" xfId="11284" xr:uid="{5C1F7D53-C8E7-46EA-9B4B-D8DEBDDF5CB9}"/>
    <cellStyle name="Note 3 5 9" xfId="4918" xr:uid="{00000000-0005-0000-0000-000001220000}"/>
    <cellStyle name="Note 3 5 9 2" xfId="13357" xr:uid="{04AF5BCC-302A-4F4D-9A96-438D522FEF3B}"/>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AED6188C-860E-4C5E-A056-00553657BBEC}"/>
    <cellStyle name="Percent 4" xfId="4502" xr:uid="{00000000-0005-0000-0000-000007220000}"/>
    <cellStyle name="Percent 4 2" xfId="8718" xr:uid="{00000000-0005-0000-0000-000008220000}"/>
    <cellStyle name="Percent 4 2 2" xfId="17157" xr:uid="{211F67A4-E72E-4791-B54F-8B6AEC6F6B8F}"/>
    <cellStyle name="Percent 4 3" xfId="8721" xr:uid="{D09CD3FC-D632-4B66-A68A-5CC92F993799}"/>
    <cellStyle name="Percent 4 3 2" xfId="8725" xr:uid="{D57AE941-8E59-43F0-AB73-09B3BCCFA234}"/>
    <cellStyle name="Percent 4 3 2 2" xfId="17163" xr:uid="{C4997328-4577-440F-9809-FC8D391B8F0B}"/>
    <cellStyle name="Percent 4 3 3" xfId="17160" xr:uid="{E0D8DBA0-0BA7-4F96-BCE9-36121D45A2AD}"/>
    <cellStyle name="Percent 4 4" xfId="12943" xr:uid="{57AF7108-A3FF-443F-A133-D4B05A9AB86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EdM@Butte-Housing.com" TargetMode="External"/><Relationship Id="rId13" Type="http://schemas.openxmlformats.org/officeDocument/2006/relationships/hyperlink" Target="mailto:dmogavero@mogaveroarchitects.com" TargetMode="External"/><Relationship Id="rId18" Type="http://schemas.openxmlformats.org/officeDocument/2006/relationships/hyperlink" Target="mailto:okejohnson@winnco.com" TargetMode="External"/><Relationship Id="rId3" Type="http://schemas.openxmlformats.org/officeDocument/2006/relationships/hyperlink" Target="http://www.treasurer.ca.gov/ctcac/2019/lra/contact.pdf" TargetMode="External"/><Relationship Id="rId21" Type="http://schemas.openxmlformats.org/officeDocument/2006/relationships/vmlDrawing" Target="../drawings/vmlDrawing3.vml"/><Relationship Id="rId7" Type="http://schemas.openxmlformats.org/officeDocument/2006/relationships/hyperlink" Target="mailto:Ldoyle@ahdcinc.com" TargetMode="External"/><Relationship Id="rId12" Type="http://schemas.openxmlformats.org/officeDocument/2006/relationships/hyperlink" Target="mailto:Ldoyle@ahdcinc.com" TargetMode="External"/><Relationship Id="rId17" Type="http://schemas.openxmlformats.org/officeDocument/2006/relationships/hyperlink" Target="mailto:bbarker@cmfa-ca.com" TargetMode="External"/><Relationship Id="rId2" Type="http://schemas.openxmlformats.org/officeDocument/2006/relationships/hyperlink" Target="http://findyourrep.legislature.ca.gov/" TargetMode="External"/><Relationship Id="rId16" Type="http://schemas.openxmlformats.org/officeDocument/2006/relationships/hyperlink" Target="mailto:jay@kvgteam.com" TargetMode="External"/><Relationship Id="rId20"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hyperlink" Target="mailto:Ldoyle@ahdcinc.com" TargetMode="External"/><Relationship Id="rId11" Type="http://schemas.openxmlformats.org/officeDocument/2006/relationships/hyperlink" Target="mailto:ahamadou.bocar@cohnreznick.com" TargetMode="External"/><Relationship Id="rId5" Type="http://schemas.openxmlformats.org/officeDocument/2006/relationships/hyperlink" Target="mailto:CMWeb@chicoca.gov" TargetMode="External"/><Relationship Id="rId15" Type="http://schemas.openxmlformats.org/officeDocument/2006/relationships/hyperlink" Target="mailto:ahamadou.bocar@cohnreznick.com" TargetMode="External"/><Relationship Id="rId10" Type="http://schemas.openxmlformats.org/officeDocument/2006/relationships/hyperlink" Target="mailto:seanarmstrongpm@gmail.com" TargetMode="External"/><Relationship Id="rId19"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openxmlformats.org/officeDocument/2006/relationships/hyperlink" Target="mailto:Ldoyle@ahdcinc.com" TargetMode="External"/><Relationship Id="rId14" Type="http://schemas.openxmlformats.org/officeDocument/2006/relationships/hyperlink" Target="mailto:na@sunsericonstruction.com" TargetMode="External"/><Relationship Id="rId22"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2623</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2435</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2622</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2436</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2618</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2614</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2443</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2444</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1307</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2438</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2439</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1073</v>
      </c>
      <c r="G119" s="4"/>
    </row>
    <row r="120" spans="2:16">
      <c r="F120" s="99" t="s">
        <v>1330</v>
      </c>
      <c r="G120" s="99"/>
    </row>
    <row r="121" spans="2:16">
      <c r="G121" s="99"/>
    </row>
    <row r="122" spans="2:16">
      <c r="E122" s="4" t="s">
        <v>788</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1356</v>
      </c>
      <c r="F138" s="4"/>
    </row>
    <row r="139" spans="4:37">
      <c r="F139" s="4"/>
    </row>
    <row r="140" spans="4:37">
      <c r="D140" s="2" t="s">
        <v>305</v>
      </c>
      <c r="E140" s="2" t="s">
        <v>2440</v>
      </c>
      <c r="F140" s="2"/>
      <c r="G140" s="2"/>
      <c r="H140" s="2"/>
    </row>
    <row r="141" spans="4:37">
      <c r="E141" t="s">
        <v>113</v>
      </c>
      <c r="F141" t="s">
        <v>52</v>
      </c>
    </row>
    <row r="142" spans="4:37">
      <c r="E142" t="s">
        <v>114</v>
      </c>
      <c r="F142" t="s">
        <v>476</v>
      </c>
    </row>
    <row r="143" spans="4:37"/>
    <row r="144" spans="4:37">
      <c r="D144" s="2" t="s">
        <v>431</v>
      </c>
      <c r="E144" s="2" t="s">
        <v>2441</v>
      </c>
    </row>
    <row r="145" spans="3:7">
      <c r="E145" s="218" t="s">
        <v>2442</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1287</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722</v>
      </c>
      <c r="F186" s="4"/>
      <c r="I186" s="4"/>
    </row>
    <row r="187" spans="2:19">
      <c r="B187" s="4"/>
      <c r="C187" s="4"/>
      <c r="E187" s="4" t="s">
        <v>1063</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1074</v>
      </c>
      <c r="G193" s="4"/>
      <c r="H193" s="4"/>
      <c r="I193" s="4"/>
    </row>
    <row r="194" spans="2:37">
      <c r="B194" s="4"/>
      <c r="C194" s="2"/>
      <c r="F194" s="4" t="s">
        <v>663</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1417</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70" t="s">
        <v>2517</v>
      </c>
      <c r="B1" s="2171"/>
      <c r="C1" s="2171"/>
      <c r="D1" s="2171"/>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c r="AN1" s="2171"/>
      <c r="AO1" s="2171"/>
      <c r="AP1" s="2171"/>
      <c r="AQ1" s="2171"/>
      <c r="AR1" s="2171"/>
      <c r="AS1" s="2171"/>
      <c r="AT1" s="2171"/>
      <c r="AU1" s="2171"/>
      <c r="AV1" s="2171"/>
      <c r="AW1" s="2171"/>
      <c r="AX1" s="2171"/>
      <c r="AY1" s="2171"/>
      <c r="AZ1" s="2171"/>
      <c r="BA1" s="2171"/>
      <c r="BB1" s="2171"/>
      <c r="BC1" s="2171"/>
      <c r="BD1" s="2171"/>
      <c r="BE1" s="2172"/>
    </row>
    <row r="2" spans="1:65" ht="15.75" customHeight="1">
      <c r="A2" s="2173" t="s">
        <v>2565</v>
      </c>
      <c r="B2" s="2174"/>
      <c r="C2" s="2174"/>
      <c r="D2" s="2174"/>
      <c r="E2" s="2174"/>
      <c r="F2" s="2174"/>
      <c r="G2" s="2174"/>
      <c r="H2" s="2174"/>
      <c r="I2" s="2174"/>
      <c r="J2" s="2174"/>
      <c r="K2" s="2174"/>
      <c r="L2" s="2174"/>
      <c r="M2" s="2174"/>
      <c r="N2" s="2174"/>
      <c r="O2" s="2174"/>
      <c r="P2" s="2174"/>
      <c r="Q2" s="2174"/>
      <c r="R2" s="2174"/>
      <c r="S2" s="2174"/>
      <c r="T2" s="2174"/>
      <c r="U2" s="2174"/>
      <c r="V2" s="2174"/>
      <c r="W2" s="2174"/>
      <c r="X2" s="2174"/>
      <c r="Y2" s="2174"/>
      <c r="Z2" s="2174"/>
      <c r="AA2" s="2174"/>
      <c r="AB2" s="2174"/>
      <c r="AC2" s="2174"/>
      <c r="AD2" s="2174"/>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4"/>
      <c r="BC2" s="2174"/>
      <c r="BD2" s="2174"/>
      <c r="BE2" s="2175"/>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62" t="str">
        <f>IF(Application!H18="","",Application!H18)</f>
        <v>Bar Triangle Apartments</v>
      </c>
      <c r="M4" s="2163"/>
      <c r="N4" s="2163"/>
      <c r="O4" s="2163"/>
      <c r="P4" s="2163"/>
      <c r="Q4" s="2163"/>
      <c r="R4" s="2163"/>
      <c r="S4" s="2163"/>
      <c r="T4" s="2163"/>
      <c r="U4" s="2163"/>
      <c r="V4" s="2163"/>
      <c r="W4" s="2163"/>
      <c r="X4" s="2163"/>
      <c r="Y4" s="2163"/>
      <c r="Z4" s="2163"/>
      <c r="AA4" s="2163"/>
      <c r="AB4" s="2163"/>
      <c r="AC4" s="2164"/>
      <c r="AD4" s="1207"/>
      <c r="AE4" s="1207"/>
      <c r="AF4" s="2176" t="s">
        <v>2566</v>
      </c>
      <c r="AG4" s="2176"/>
      <c r="AH4" s="2176"/>
      <c r="AI4" s="2176"/>
      <c r="AJ4" s="2176"/>
      <c r="AK4" s="2176"/>
      <c r="AL4" s="2176"/>
      <c r="AM4" s="2176"/>
      <c r="AN4" s="2176"/>
      <c r="AO4" s="2176"/>
      <c r="AP4" s="2177"/>
      <c r="AQ4" s="2178"/>
      <c r="AR4" s="2178"/>
      <c r="AS4" s="2178"/>
      <c r="AT4" s="2178"/>
      <c r="AU4" s="2178"/>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6" t="s">
        <v>2567</v>
      </c>
      <c r="AG5" s="2176"/>
      <c r="AH5" s="2176"/>
      <c r="AI5" s="2176"/>
      <c r="AJ5" s="2176"/>
      <c r="AK5" s="2176"/>
      <c r="AL5" s="2176"/>
      <c r="AM5" s="2176"/>
      <c r="AN5" s="2176"/>
      <c r="AO5" s="2176"/>
      <c r="AP5" s="2177"/>
      <c r="AQ5" s="2178"/>
      <c r="AR5" s="2178"/>
      <c r="AS5" s="2178"/>
      <c r="AT5" s="2178"/>
      <c r="AU5" s="2178"/>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62" t="str">
        <f>IF(Application!H16="","",Application!H16)</f>
        <v>Central California Housing Corporation</v>
      </c>
      <c r="M6" s="2163"/>
      <c r="N6" s="2163"/>
      <c r="O6" s="2163"/>
      <c r="P6" s="2163"/>
      <c r="Q6" s="2163"/>
      <c r="R6" s="2163"/>
      <c r="S6" s="2163"/>
      <c r="T6" s="2163"/>
      <c r="U6" s="2163"/>
      <c r="V6" s="2163"/>
      <c r="W6" s="2163"/>
      <c r="X6" s="2163"/>
      <c r="Y6" s="2163"/>
      <c r="Z6" s="2163"/>
      <c r="AA6" s="2163"/>
      <c r="AB6" s="2163"/>
      <c r="AC6" s="2164"/>
      <c r="AD6" s="1207"/>
      <c r="AE6" s="1207"/>
      <c r="AF6" s="2165" t="s">
        <v>2568</v>
      </c>
      <c r="AG6" s="2165"/>
      <c r="AH6" s="2165"/>
      <c r="AI6" s="2165"/>
      <c r="AJ6" s="2165"/>
      <c r="AK6" s="2165"/>
      <c r="AL6" s="2165"/>
      <c r="AM6" s="2165"/>
      <c r="AN6" s="2165"/>
      <c r="AO6" s="2165"/>
      <c r="AP6" s="2166">
        <v>0</v>
      </c>
      <c r="AQ6" s="2166"/>
      <c r="AR6" s="2166"/>
      <c r="AS6" s="2166"/>
      <c r="AT6" s="2166"/>
      <c r="AU6" s="2166"/>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5" t="s">
        <v>2569</v>
      </c>
      <c r="AG7" s="2165"/>
      <c r="AH7" s="2165"/>
      <c r="AI7" s="2165"/>
      <c r="AJ7" s="2165"/>
      <c r="AK7" s="2165"/>
      <c r="AL7" s="2165"/>
      <c r="AM7" s="2165"/>
      <c r="AN7" s="2165"/>
      <c r="AO7" s="2165"/>
      <c r="AP7" s="2166">
        <v>0</v>
      </c>
      <c r="AQ7" s="2166"/>
      <c r="AR7" s="2166"/>
      <c r="AS7" s="2166"/>
      <c r="AT7" s="2166"/>
      <c r="AU7" s="2166"/>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7" t="str">
        <f>Application!T196</f>
        <v>No</v>
      </c>
      <c r="AC8" s="2168"/>
      <c r="AD8" s="2169"/>
      <c r="AE8" s="1207"/>
      <c r="AF8" s="2165" t="s">
        <v>2570</v>
      </c>
      <c r="AG8" s="2165"/>
      <c r="AH8" s="2165"/>
      <c r="AI8" s="2165"/>
      <c r="AJ8" s="2165"/>
      <c r="AK8" s="2165"/>
      <c r="AL8" s="2165"/>
      <c r="AM8" s="2165"/>
      <c r="AN8" s="2165"/>
      <c r="AO8" s="2165"/>
      <c r="AP8" s="2166" t="s">
        <v>2522</v>
      </c>
      <c r="AQ8" s="2166"/>
      <c r="AR8" s="2166"/>
      <c r="AS8" s="2166"/>
      <c r="AT8" s="2166"/>
      <c r="AU8" s="2166"/>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5">
      <c r="A10" s="1206"/>
      <c r="B10" s="1209" t="s">
        <v>1860</v>
      </c>
      <c r="C10" s="1209"/>
      <c r="D10" s="1209"/>
      <c r="E10" s="1209"/>
      <c r="F10" s="1209"/>
      <c r="G10" s="1209"/>
      <c r="H10" s="1209"/>
      <c r="I10" s="1209"/>
      <c r="J10" s="1209"/>
      <c r="K10" s="1209"/>
      <c r="L10" s="1209"/>
      <c r="M10" s="1207"/>
      <c r="N10" s="2193">
        <f>Application!AO623</f>
        <v>4233000</v>
      </c>
      <c r="O10" s="2193"/>
      <c r="P10" s="2193"/>
      <c r="Q10" s="2193"/>
      <c r="R10" s="2193"/>
      <c r="S10" s="2193"/>
      <c r="T10" s="2193"/>
      <c r="U10" s="1207"/>
      <c r="V10" s="1207"/>
      <c r="W10" s="1207"/>
      <c r="X10" s="2179" t="s">
        <v>2572</v>
      </c>
      <c r="Y10" s="2179"/>
      <c r="Z10" s="2179"/>
      <c r="AA10" s="2179"/>
      <c r="AB10" s="2179"/>
      <c r="AC10" s="2179"/>
      <c r="AD10" s="2179"/>
      <c r="AE10" s="2179"/>
      <c r="AF10" s="2179"/>
      <c r="AG10" s="2179"/>
      <c r="AH10" s="2179"/>
      <c r="AI10" s="2179"/>
      <c r="AJ10" s="2179"/>
      <c r="AK10" s="2179"/>
      <c r="AL10" s="2194">
        <f>Application!W471</f>
        <v>0</v>
      </c>
      <c r="AM10" s="2195"/>
      <c r="AN10" s="2195"/>
      <c r="AO10" s="2195"/>
      <c r="AP10" s="2195"/>
      <c r="AQ10" s="1210"/>
      <c r="AR10" s="1210"/>
      <c r="AS10" s="1210"/>
      <c r="AT10" s="1210"/>
      <c r="AU10" s="1210"/>
      <c r="AV10" s="1210"/>
      <c r="AW10" s="1210"/>
      <c r="AX10" s="1207"/>
      <c r="AY10" s="1207"/>
      <c r="AZ10" s="1207"/>
      <c r="BA10" s="1207"/>
      <c r="BB10" s="1207"/>
      <c r="BC10" s="1207"/>
      <c r="BD10" s="1207"/>
      <c r="BE10" s="1208"/>
      <c r="BM10" s="1204" t="s">
        <v>2573</v>
      </c>
    </row>
    <row r="11" spans="1:65" ht="15">
      <c r="A11" s="1206"/>
      <c r="B11" s="1209" t="s">
        <v>1861</v>
      </c>
      <c r="C11" s="1209"/>
      <c r="D11" s="1209"/>
      <c r="E11" s="1209"/>
      <c r="F11" s="1209"/>
      <c r="G11" s="1209"/>
      <c r="H11" s="1209"/>
      <c r="I11" s="1209"/>
      <c r="J11" s="1209"/>
      <c r="K11" s="1209"/>
      <c r="L11" s="1209"/>
      <c r="M11" s="1207"/>
      <c r="N11" s="2193">
        <f>Application!AA911</f>
        <v>0</v>
      </c>
      <c r="O11" s="2193"/>
      <c r="P11" s="2193"/>
      <c r="Q11" s="2193"/>
      <c r="R11" s="2193"/>
      <c r="S11" s="2193"/>
      <c r="T11" s="2193"/>
      <c r="U11" s="1207"/>
      <c r="V11" s="1207"/>
      <c r="W11" s="1207"/>
      <c r="X11" s="2196" t="s">
        <v>2574</v>
      </c>
      <c r="Y11" s="2196"/>
      <c r="Z11" s="2196"/>
      <c r="AA11" s="2196"/>
      <c r="AB11" s="2196"/>
      <c r="AC11" s="2196"/>
      <c r="AD11" s="2196"/>
      <c r="AE11" s="2196"/>
      <c r="AF11" s="2196"/>
      <c r="AG11" s="2196"/>
      <c r="AH11" s="2196"/>
      <c r="AI11" s="2196"/>
      <c r="AJ11" s="2196"/>
      <c r="AK11" s="2196"/>
      <c r="AL11" s="2180"/>
      <c r="AM11" s="2181"/>
      <c r="AN11" s="2181"/>
      <c r="AO11" s="2181"/>
      <c r="AP11" s="2181"/>
      <c r="AQ11" s="1211"/>
      <c r="AR11" s="1212"/>
      <c r="AS11" s="1210"/>
      <c r="AT11" s="1210"/>
      <c r="AU11" s="1210"/>
      <c r="AV11" s="1210"/>
      <c r="AW11" s="1210"/>
      <c r="AX11" s="1207"/>
      <c r="AY11" s="1207"/>
      <c r="AZ11" s="1207"/>
      <c r="BA11" s="1207"/>
      <c r="BB11" s="1207"/>
      <c r="BC11" s="1207"/>
      <c r="BD11" s="1207"/>
      <c r="BE11" s="1208"/>
      <c r="BM11" s="1204" t="s">
        <v>2522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9" t="s">
        <v>2575</v>
      </c>
      <c r="Y12" s="2179"/>
      <c r="Z12" s="2179"/>
      <c r="AA12" s="2179"/>
      <c r="AB12" s="2179"/>
      <c r="AC12" s="2179"/>
      <c r="AD12" s="2179"/>
      <c r="AE12" s="2179"/>
      <c r="AF12" s="2179"/>
      <c r="AG12" s="2179"/>
      <c r="AH12" s="2179"/>
      <c r="AI12" s="2179"/>
      <c r="AJ12" s="2179"/>
      <c r="AK12" s="2179"/>
      <c r="AL12" s="2180"/>
      <c r="AM12" s="2181"/>
      <c r="AN12" s="2181"/>
      <c r="AO12" s="2181"/>
      <c r="AP12" s="2181"/>
      <c r="AQ12" s="1210"/>
      <c r="AR12" s="1210"/>
      <c r="AS12" s="1210"/>
      <c r="AT12" s="1210"/>
      <c r="AU12" s="1210"/>
      <c r="AV12" s="1207"/>
      <c r="AW12" s="1207"/>
      <c r="AX12" s="1207"/>
      <c r="AY12" s="1207"/>
      <c r="AZ12" s="1207"/>
      <c r="BA12" s="1207"/>
      <c r="BB12" s="1207"/>
      <c r="BC12" s="1207"/>
      <c r="BD12" s="1207"/>
      <c r="BE12" s="1213"/>
      <c r="BM12" s="1204" t="s">
        <v>2576</v>
      </c>
    </row>
    <row r="13" spans="1:65" thickBot="1">
      <c r="A13" s="1207"/>
      <c r="B13" s="2182" t="s">
        <v>1862</v>
      </c>
      <c r="C13" s="2183"/>
      <c r="D13" s="2183"/>
      <c r="E13" s="2183"/>
      <c r="F13" s="2183"/>
      <c r="G13" s="2183"/>
      <c r="H13" s="2183"/>
      <c r="I13" s="2183"/>
      <c r="J13" s="2183"/>
      <c r="K13" s="2183"/>
      <c r="L13" s="2183"/>
      <c r="M13" s="2183"/>
      <c r="N13" s="2183"/>
      <c r="O13" s="2183"/>
      <c r="P13" s="2184"/>
      <c r="Q13" s="2185" t="s">
        <v>679</v>
      </c>
      <c r="R13" s="2186"/>
      <c r="S13" s="2186"/>
      <c r="T13" s="218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88" t="s">
        <v>1863</v>
      </c>
      <c r="C15" s="2189"/>
      <c r="D15" s="2189"/>
      <c r="E15" s="2189"/>
      <c r="F15" s="2189"/>
      <c r="G15" s="2189"/>
      <c r="H15" s="2189"/>
      <c r="I15" s="2189"/>
      <c r="J15" s="2189"/>
      <c r="K15" s="2189"/>
      <c r="L15" s="2189"/>
      <c r="M15" s="2189"/>
      <c r="N15" s="2189"/>
      <c r="O15" s="2189"/>
      <c r="P15" s="2189"/>
      <c r="Q15" s="2189"/>
      <c r="R15" s="2190"/>
      <c r="S15" s="2191" t="str">
        <f>IF(Application!AB214="","",Application!AB214)</f>
        <v/>
      </c>
      <c r="T15" s="2191"/>
      <c r="U15" s="2191"/>
      <c r="V15" s="2191"/>
      <c r="W15" s="219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97" t="s">
        <v>1864</v>
      </c>
      <c r="C17" s="2198"/>
      <c r="D17" s="2198"/>
      <c r="E17" s="2198"/>
      <c r="F17" s="2198"/>
      <c r="G17" s="2198"/>
      <c r="H17" s="2198"/>
      <c r="I17" s="2198"/>
      <c r="J17" s="2198"/>
      <c r="K17" s="2198"/>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8"/>
      <c r="AP17" s="2198"/>
      <c r="AQ17" s="2198"/>
      <c r="AR17" s="2198"/>
      <c r="AS17" s="2198"/>
      <c r="AT17" s="2198"/>
      <c r="AU17" s="2198"/>
      <c r="AV17" s="2198"/>
      <c r="AW17" s="2198"/>
      <c r="AX17" s="2198"/>
      <c r="AY17" s="2199"/>
      <c r="AZ17" s="1207"/>
      <c r="BA17" s="1207"/>
      <c r="BB17" s="1207"/>
      <c r="BC17" s="1207"/>
      <c r="BD17" s="1207"/>
      <c r="BE17" s="1213"/>
      <c r="BF17" s="1205"/>
    </row>
    <row r="18" spans="1:58" ht="15.75" customHeight="1">
      <c r="A18" s="1207"/>
      <c r="B18" s="2200" t="s">
        <v>1865</v>
      </c>
      <c r="C18" s="2201"/>
      <c r="D18" s="2201"/>
      <c r="E18" s="2201"/>
      <c r="F18" s="2201"/>
      <c r="G18" s="2201"/>
      <c r="H18" s="2201"/>
      <c r="I18" s="2202"/>
      <c r="J18" s="2203" t="s">
        <v>1764</v>
      </c>
      <c r="K18" s="2204"/>
      <c r="L18" s="2204"/>
      <c r="M18" s="2204"/>
      <c r="N18" s="2204"/>
      <c r="O18" s="2205"/>
      <c r="P18" s="2203" t="s">
        <v>326</v>
      </c>
      <c r="Q18" s="2204"/>
      <c r="R18" s="2204"/>
      <c r="S18" s="2204"/>
      <c r="T18" s="2204"/>
      <c r="U18" s="2205"/>
      <c r="V18" s="2203" t="s">
        <v>327</v>
      </c>
      <c r="W18" s="2204"/>
      <c r="X18" s="2204"/>
      <c r="Y18" s="2204"/>
      <c r="Z18" s="2204"/>
      <c r="AA18" s="2205"/>
      <c r="AB18" s="2203" t="s">
        <v>164</v>
      </c>
      <c r="AC18" s="2204"/>
      <c r="AD18" s="2204"/>
      <c r="AE18" s="2204"/>
      <c r="AF18" s="2204"/>
      <c r="AG18" s="2205"/>
      <c r="AH18" s="2203" t="s">
        <v>165</v>
      </c>
      <c r="AI18" s="2204"/>
      <c r="AJ18" s="2204"/>
      <c r="AK18" s="2204"/>
      <c r="AL18" s="2204"/>
      <c r="AM18" s="2205"/>
      <c r="AN18" s="2203" t="s">
        <v>166</v>
      </c>
      <c r="AO18" s="2204"/>
      <c r="AP18" s="2204"/>
      <c r="AQ18" s="2204"/>
      <c r="AR18" s="2204"/>
      <c r="AS18" s="2205"/>
      <c r="AT18" s="2203" t="s">
        <v>1866</v>
      </c>
      <c r="AU18" s="2204"/>
      <c r="AV18" s="2204"/>
      <c r="AW18" s="2204"/>
      <c r="AX18" s="2204"/>
      <c r="AY18" s="2206"/>
      <c r="AZ18" s="1207"/>
      <c r="BA18" s="1207"/>
      <c r="BB18" s="1207"/>
      <c r="BC18" s="1207"/>
      <c r="BD18" s="1207"/>
      <c r="BE18" s="1213"/>
    </row>
    <row r="19" spans="1:58" ht="15">
      <c r="A19" s="1207"/>
      <c r="B19" s="2213">
        <v>0.3</v>
      </c>
      <c r="C19" s="2214"/>
      <c r="D19" s="2214"/>
      <c r="E19" s="2214"/>
      <c r="F19" s="2214"/>
      <c r="G19" s="2214"/>
      <c r="H19" s="2214"/>
      <c r="I19" s="2215"/>
      <c r="J19" s="2207">
        <f>SUM(P19:AS19)</f>
        <v>18</v>
      </c>
      <c r="K19" s="2208"/>
      <c r="L19" s="2208"/>
      <c r="M19" s="2208"/>
      <c r="N19" s="2208"/>
      <c r="O19" s="2209"/>
      <c r="P19" s="2207" cm="1">
        <f t="array" ref="P19">SUMPRODUCT((Application!$B$714:$B$738 = 'CalHFA Addendum'!P$18)*(Application!$AC$714:$AC$738 = 'CalHFA Addendum'!$B19),Application!$G$714:$G$738)</f>
        <v>0</v>
      </c>
      <c r="Q19" s="2208"/>
      <c r="R19" s="2208"/>
      <c r="S19" s="2208"/>
      <c r="T19" s="2208"/>
      <c r="U19" s="2209"/>
      <c r="V19" s="2207" cm="1">
        <f t="array" ref="V19">SUMPRODUCT((Application!$B$714:$B$738 = 'CalHFA Addendum'!V$18)*(Application!$AC$714:$AC$738 = 'CalHFA Addendum'!$B19),Application!$G$714:$G$738)</f>
        <v>5</v>
      </c>
      <c r="W19" s="2208"/>
      <c r="X19" s="2208"/>
      <c r="Y19" s="2208"/>
      <c r="Z19" s="2208"/>
      <c r="AA19" s="2209"/>
      <c r="AB19" s="2207" cm="1">
        <f t="array" ref="AB19">SUMPRODUCT((Application!$B$714:$B$738 = 'CalHFA Addendum'!AB$18)*(Application!$AC$714:$AC$738 = 'CalHFA Addendum'!$B19),Application!$G$714:$G$738)</f>
        <v>8</v>
      </c>
      <c r="AC19" s="2208"/>
      <c r="AD19" s="2208"/>
      <c r="AE19" s="2208"/>
      <c r="AF19" s="2208"/>
      <c r="AG19" s="2209"/>
      <c r="AH19" s="2207" cm="1">
        <f t="array" ref="AH19">SUMPRODUCT((Application!$B$714:$B$738 = 'CalHFA Addendum'!AH$18)*(Application!$AC$714:$AC$738 = 'CalHFA Addendum'!$B19),Application!$G$714:$G$738)</f>
        <v>5</v>
      </c>
      <c r="AI19" s="2208"/>
      <c r="AJ19" s="2208"/>
      <c r="AK19" s="2208"/>
      <c r="AL19" s="2208"/>
      <c r="AM19" s="2209"/>
      <c r="AN19" s="2207" cm="1">
        <f t="array" ref="AN19">SUMPRODUCT((Application!$B$714:$B$738 = 'CalHFA Addendum'!AN$18)*(Application!$AC$714:$AC$738 = 'CalHFA Addendum'!$B19),Application!$G$714:$G$738)</f>
        <v>0</v>
      </c>
      <c r="AO19" s="2208"/>
      <c r="AP19" s="2208"/>
      <c r="AQ19" s="2208"/>
      <c r="AR19" s="2208"/>
      <c r="AS19" s="2209"/>
      <c r="AT19" s="2210">
        <f t="shared" ref="AT19:AT28" si="0">J19/$J$29</f>
        <v>0.25714285714285712</v>
      </c>
      <c r="AU19" s="2211"/>
      <c r="AV19" s="2211"/>
      <c r="AW19" s="2211"/>
      <c r="AX19" s="2211"/>
      <c r="AY19" s="2212"/>
      <c r="AZ19" s="1214"/>
      <c r="BA19" s="1207"/>
      <c r="BB19" s="1207"/>
      <c r="BC19" s="1207"/>
      <c r="BD19" s="1207"/>
      <c r="BE19" s="1213"/>
    </row>
    <row r="20" spans="1:58" ht="15" customHeight="1">
      <c r="A20" s="1207"/>
      <c r="B20" s="2213">
        <v>0.4</v>
      </c>
      <c r="C20" s="2214"/>
      <c r="D20" s="2214"/>
      <c r="E20" s="2214"/>
      <c r="F20" s="2214"/>
      <c r="G20" s="2214"/>
      <c r="H20" s="2214"/>
      <c r="I20" s="2215"/>
      <c r="J20" s="2207">
        <f t="shared" ref="J20:J28" si="1">SUM(P20:AS20)</f>
        <v>12</v>
      </c>
      <c r="K20" s="2208"/>
      <c r="L20" s="2208"/>
      <c r="M20" s="2208"/>
      <c r="N20" s="2208"/>
      <c r="O20" s="2209"/>
      <c r="P20" s="2207" cm="1">
        <f t="array" ref="P20">SUMPRODUCT((Application!$B$714:$B$738 = 'CalHFA Addendum'!P$18)*(Application!$AC$714:$AC$738 = 'CalHFA Addendum'!$B20),Application!$G$714:$G$738)</f>
        <v>0</v>
      </c>
      <c r="Q20" s="2208"/>
      <c r="R20" s="2208"/>
      <c r="S20" s="2208"/>
      <c r="T20" s="2208"/>
      <c r="U20" s="2209"/>
      <c r="V20" s="2207" cm="1">
        <f t="array" ref="V20">SUMPRODUCT((Application!$B$714:$B$738 = 'CalHFA Addendum'!V$18)*(Application!$AC$714:$AC$738 = 'CalHFA Addendum'!$B20),Application!$G$714:$G$738)</f>
        <v>3</v>
      </c>
      <c r="W20" s="2208"/>
      <c r="X20" s="2208"/>
      <c r="Y20" s="2208"/>
      <c r="Z20" s="2208"/>
      <c r="AA20" s="2209"/>
      <c r="AB20" s="2207" cm="1">
        <f t="array" ref="AB20">SUMPRODUCT((Application!$B$714:$B$738 = 'CalHFA Addendum'!AB$18)*(Application!$AC$714:$AC$738 = 'CalHFA Addendum'!$B20),Application!$G$714:$G$738)</f>
        <v>6</v>
      </c>
      <c r="AC20" s="2208"/>
      <c r="AD20" s="2208"/>
      <c r="AE20" s="2208"/>
      <c r="AF20" s="2208"/>
      <c r="AG20" s="2209"/>
      <c r="AH20" s="2207" cm="1">
        <f t="array" ref="AH20">SUMPRODUCT((Application!$B$714:$B$738 = 'CalHFA Addendum'!AH$18)*(Application!$AC$714:$AC$738 = 'CalHFA Addendum'!$B20),Application!$G$714:$G$738)</f>
        <v>3</v>
      </c>
      <c r="AI20" s="2208"/>
      <c r="AJ20" s="2208"/>
      <c r="AK20" s="2208"/>
      <c r="AL20" s="2208"/>
      <c r="AM20" s="2209"/>
      <c r="AN20" s="2207" cm="1">
        <f t="array" ref="AN20">SUMPRODUCT((Application!$B$714:$B$738 = 'CalHFA Addendum'!AN$18)*(Application!$AC$714:$AC$738 = 'CalHFA Addendum'!$B20),Application!$G$714:$G$738)</f>
        <v>0</v>
      </c>
      <c r="AO20" s="2208"/>
      <c r="AP20" s="2208"/>
      <c r="AQ20" s="2208"/>
      <c r="AR20" s="2208"/>
      <c r="AS20" s="2209"/>
      <c r="AT20" s="2210">
        <f t="shared" si="0"/>
        <v>0.17142857142857143</v>
      </c>
      <c r="AU20" s="2211"/>
      <c r="AV20" s="2211"/>
      <c r="AW20" s="2211"/>
      <c r="AX20" s="2211"/>
      <c r="AY20" s="2212"/>
      <c r="AZ20" s="1207"/>
      <c r="BA20" s="1207"/>
      <c r="BB20" s="1207"/>
      <c r="BC20" s="1207"/>
      <c r="BD20" s="1207"/>
      <c r="BE20" s="1213"/>
    </row>
    <row r="21" spans="1:58" ht="15">
      <c r="A21" s="1207"/>
      <c r="B21" s="2213">
        <v>0.5</v>
      </c>
      <c r="C21" s="2214"/>
      <c r="D21" s="2214"/>
      <c r="E21" s="2214"/>
      <c r="F21" s="2214"/>
      <c r="G21" s="2214"/>
      <c r="H21" s="2214"/>
      <c r="I21" s="2215"/>
      <c r="J21" s="2207">
        <f t="shared" si="1"/>
        <v>19</v>
      </c>
      <c r="K21" s="2208"/>
      <c r="L21" s="2208"/>
      <c r="M21" s="2208"/>
      <c r="N21" s="2208"/>
      <c r="O21" s="2209"/>
      <c r="P21" s="2207" cm="1">
        <f t="array" ref="P21">SUMPRODUCT((Application!$B$714:$B$738 = 'CalHFA Addendum'!P$18)*(Application!$AC$714:$AC$738 = 'CalHFA Addendum'!$B21),Application!$G$714:$G$738)</f>
        <v>0</v>
      </c>
      <c r="Q21" s="2208"/>
      <c r="R21" s="2208"/>
      <c r="S21" s="2208"/>
      <c r="T21" s="2208"/>
      <c r="U21" s="2209"/>
      <c r="V21" s="2207" cm="1">
        <f t="array" ref="V21">SUMPRODUCT((Application!$B$714:$B$738 = 'CalHFA Addendum'!V$18)*(Application!$AC$714:$AC$738 = 'CalHFA Addendum'!$B21),Application!$G$714:$G$738)</f>
        <v>5</v>
      </c>
      <c r="W21" s="2208"/>
      <c r="X21" s="2208"/>
      <c r="Y21" s="2208"/>
      <c r="Z21" s="2208"/>
      <c r="AA21" s="2209"/>
      <c r="AB21" s="2207" cm="1">
        <f t="array" ref="AB21">SUMPRODUCT((Application!$B$714:$B$738 = 'CalHFA Addendum'!AB$18)*(Application!$AC$714:$AC$738 = 'CalHFA Addendum'!$B21),Application!$G$714:$G$738)</f>
        <v>9</v>
      </c>
      <c r="AC21" s="2208"/>
      <c r="AD21" s="2208"/>
      <c r="AE21" s="2208"/>
      <c r="AF21" s="2208"/>
      <c r="AG21" s="2209"/>
      <c r="AH21" s="2207" cm="1">
        <f t="array" ref="AH21">SUMPRODUCT((Application!$B$714:$B$738 = 'CalHFA Addendum'!AH$18)*(Application!$AC$714:$AC$738 = 'CalHFA Addendum'!$B21),Application!$G$714:$G$738)</f>
        <v>5</v>
      </c>
      <c r="AI21" s="2208"/>
      <c r="AJ21" s="2208"/>
      <c r="AK21" s="2208"/>
      <c r="AL21" s="2208"/>
      <c r="AM21" s="2209"/>
      <c r="AN21" s="2207" cm="1">
        <f t="array" ref="AN21">SUMPRODUCT((Application!$B$714:$B$738 = 'CalHFA Addendum'!AN$18)*(Application!$AC$714:$AC$738 = 'CalHFA Addendum'!$B21),Application!$G$714:$G$738)</f>
        <v>0</v>
      </c>
      <c r="AO21" s="2208"/>
      <c r="AP21" s="2208"/>
      <c r="AQ21" s="2208"/>
      <c r="AR21" s="2208"/>
      <c r="AS21" s="2209"/>
      <c r="AT21" s="2210">
        <f t="shared" si="0"/>
        <v>0.27142857142857141</v>
      </c>
      <c r="AU21" s="2211"/>
      <c r="AV21" s="2211"/>
      <c r="AW21" s="2211"/>
      <c r="AX21" s="2211"/>
      <c r="AY21" s="2212"/>
      <c r="AZ21" s="1207"/>
      <c r="BA21" s="1207"/>
      <c r="BB21" s="1207"/>
      <c r="BC21" s="1207"/>
      <c r="BD21" s="1207"/>
      <c r="BE21" s="1213"/>
    </row>
    <row r="22" spans="1:58" ht="15">
      <c r="A22" s="1207"/>
      <c r="B22" s="2213">
        <v>0.6</v>
      </c>
      <c r="C22" s="2214"/>
      <c r="D22" s="2214"/>
      <c r="E22" s="2214"/>
      <c r="F22" s="2214"/>
      <c r="G22" s="2214"/>
      <c r="H22" s="2214"/>
      <c r="I22" s="2215"/>
      <c r="J22" s="2207">
        <f t="shared" si="1"/>
        <v>20</v>
      </c>
      <c r="K22" s="2208"/>
      <c r="L22" s="2208"/>
      <c r="M22" s="2208"/>
      <c r="N22" s="2208"/>
      <c r="O22" s="2209"/>
      <c r="P22" s="2207" cm="1">
        <f t="array" ref="P22">SUMPRODUCT((Application!$B$714:$B$738 = 'CalHFA Addendum'!P$18)*(Application!$AC$714:$AC$738 = 'CalHFA Addendum'!$B22),Application!$G$714:$G$738)</f>
        <v>0</v>
      </c>
      <c r="Q22" s="2208"/>
      <c r="R22" s="2208"/>
      <c r="S22" s="2208"/>
      <c r="T22" s="2208"/>
      <c r="U22" s="2209"/>
      <c r="V22" s="2207" cm="1">
        <f t="array" ref="V22">SUMPRODUCT((Application!$B$714:$B$738 = 'CalHFA Addendum'!V$18)*(Application!$AC$714:$AC$738 = 'CalHFA Addendum'!$B22),Application!$G$714:$G$738)</f>
        <v>5</v>
      </c>
      <c r="W22" s="2208"/>
      <c r="X22" s="2208"/>
      <c r="Y22" s="2208"/>
      <c r="Z22" s="2208"/>
      <c r="AA22" s="2209"/>
      <c r="AB22" s="2207" cm="1">
        <f t="array" ref="AB22">SUMPRODUCT((Application!$B$714:$B$738 = 'CalHFA Addendum'!AB$18)*(Application!$AC$714:$AC$738 = 'CalHFA Addendum'!$B22),Application!$G$714:$G$738)</f>
        <v>10</v>
      </c>
      <c r="AC22" s="2208"/>
      <c r="AD22" s="2208"/>
      <c r="AE22" s="2208"/>
      <c r="AF22" s="2208"/>
      <c r="AG22" s="2209"/>
      <c r="AH22" s="2207" cm="1">
        <f t="array" ref="AH22">SUMPRODUCT((Application!$B$714:$B$738 = 'CalHFA Addendum'!AH$18)*(Application!$AC$714:$AC$738 = 'CalHFA Addendum'!$B22),Application!$G$714:$G$738)</f>
        <v>5</v>
      </c>
      <c r="AI22" s="2208"/>
      <c r="AJ22" s="2208"/>
      <c r="AK22" s="2208"/>
      <c r="AL22" s="2208"/>
      <c r="AM22" s="2209"/>
      <c r="AN22" s="2207" cm="1">
        <f t="array" ref="AN22">SUMPRODUCT((Application!$B$714:$B$738 = 'CalHFA Addendum'!AN$18)*(Application!$AC$714:$AC$738 = 'CalHFA Addendum'!$B22),Application!$G$714:$G$738)</f>
        <v>0</v>
      </c>
      <c r="AO22" s="2208"/>
      <c r="AP22" s="2208"/>
      <c r="AQ22" s="2208"/>
      <c r="AR22" s="2208"/>
      <c r="AS22" s="2209"/>
      <c r="AT22" s="2210">
        <f t="shared" si="0"/>
        <v>0.2857142857142857</v>
      </c>
      <c r="AU22" s="2211"/>
      <c r="AV22" s="2211"/>
      <c r="AW22" s="2211"/>
      <c r="AX22" s="2211"/>
      <c r="AY22" s="2212"/>
      <c r="AZ22" s="1207"/>
      <c r="BA22" s="1207"/>
      <c r="BB22" s="1207"/>
      <c r="BC22" s="1207"/>
      <c r="BD22" s="1207"/>
      <c r="BE22" s="1213"/>
    </row>
    <row r="23" spans="1:58" ht="15">
      <c r="A23" s="1207"/>
      <c r="B23" s="2213">
        <v>0.7</v>
      </c>
      <c r="C23" s="2214"/>
      <c r="D23" s="2214"/>
      <c r="E23" s="2214"/>
      <c r="F23" s="2214"/>
      <c r="G23" s="2214"/>
      <c r="H23" s="2214"/>
      <c r="I23" s="2215"/>
      <c r="J23" s="2207">
        <f t="shared" si="1"/>
        <v>0</v>
      </c>
      <c r="K23" s="2208"/>
      <c r="L23" s="2208"/>
      <c r="M23" s="2208"/>
      <c r="N23" s="2208"/>
      <c r="O23" s="2209"/>
      <c r="P23" s="2207" cm="1">
        <f t="array" ref="P23">SUMPRODUCT((Application!$B$714:$B$738 = 'CalHFA Addendum'!P$18)*(Application!$AC$714:$AC$738 = 'CalHFA Addendum'!$B23),Application!$G$714:$G$738)</f>
        <v>0</v>
      </c>
      <c r="Q23" s="2208"/>
      <c r="R23" s="2208"/>
      <c r="S23" s="2208"/>
      <c r="T23" s="2208"/>
      <c r="U23" s="2209"/>
      <c r="V23" s="2207" cm="1">
        <f t="array" ref="V23">SUMPRODUCT((Application!$B$714:$B$738 = 'CalHFA Addendum'!V$18)*(Application!$AC$714:$AC$738 = 'CalHFA Addendum'!$B23),Application!$G$714:$G$738)</f>
        <v>0</v>
      </c>
      <c r="W23" s="2208"/>
      <c r="X23" s="2208"/>
      <c r="Y23" s="2208"/>
      <c r="Z23" s="2208"/>
      <c r="AA23" s="2209"/>
      <c r="AB23" s="2207" cm="1">
        <f t="array" ref="AB23">SUMPRODUCT((Application!$B$714:$B$738 = 'CalHFA Addendum'!AB$18)*(Application!$AC$714:$AC$738 = 'CalHFA Addendum'!$B23),Application!$G$714:$G$738)</f>
        <v>0</v>
      </c>
      <c r="AC23" s="2208"/>
      <c r="AD23" s="2208"/>
      <c r="AE23" s="2208"/>
      <c r="AF23" s="2208"/>
      <c r="AG23" s="2209"/>
      <c r="AH23" s="2207" cm="1">
        <f t="array" ref="AH23">SUMPRODUCT((Application!$B$714:$B$738 = 'CalHFA Addendum'!AH$18)*(Application!$AC$714:$AC$738 = 'CalHFA Addendum'!$B23),Application!$G$714:$G$738)</f>
        <v>0</v>
      </c>
      <c r="AI23" s="2208"/>
      <c r="AJ23" s="2208"/>
      <c r="AK23" s="2208"/>
      <c r="AL23" s="2208"/>
      <c r="AM23" s="2209"/>
      <c r="AN23" s="2207" cm="1">
        <f t="array" ref="AN23">SUMPRODUCT((Application!$B$714:$B$738 = 'CalHFA Addendum'!AN$18)*(Application!$AC$714:$AC$738 = 'CalHFA Addendum'!$B23),Application!$G$714:$G$738)</f>
        <v>0</v>
      </c>
      <c r="AO23" s="2208"/>
      <c r="AP23" s="2208"/>
      <c r="AQ23" s="2208"/>
      <c r="AR23" s="2208"/>
      <c r="AS23" s="2209"/>
      <c r="AT23" s="2210">
        <f t="shared" si="0"/>
        <v>0</v>
      </c>
      <c r="AU23" s="2211"/>
      <c r="AV23" s="2211"/>
      <c r="AW23" s="2211"/>
      <c r="AX23" s="2211"/>
      <c r="AY23" s="2212"/>
      <c r="AZ23" s="1207"/>
      <c r="BA23" s="1207"/>
      <c r="BB23" s="1207"/>
      <c r="BC23" s="1207"/>
      <c r="BD23" s="1207"/>
      <c r="BE23" s="1213"/>
    </row>
    <row r="24" spans="1:58" ht="15">
      <c r="A24" s="1207"/>
      <c r="B24" s="2213">
        <v>0.8</v>
      </c>
      <c r="C24" s="2214"/>
      <c r="D24" s="2214"/>
      <c r="E24" s="2214"/>
      <c r="F24" s="2214"/>
      <c r="G24" s="2214"/>
      <c r="H24" s="2214"/>
      <c r="I24" s="2215"/>
      <c r="J24" s="2207">
        <f t="shared" si="1"/>
        <v>0</v>
      </c>
      <c r="K24" s="2208"/>
      <c r="L24" s="2208"/>
      <c r="M24" s="2208"/>
      <c r="N24" s="2208"/>
      <c r="O24" s="2209"/>
      <c r="P24" s="2207" cm="1">
        <f t="array" ref="P24">SUMPRODUCT((Application!$B$714:$B$738 = 'CalHFA Addendum'!P$18)*(Application!$AC$714:$AC$738 = 'CalHFA Addendum'!$B24),Application!$G$714:$G$738)</f>
        <v>0</v>
      </c>
      <c r="Q24" s="2208"/>
      <c r="R24" s="2208"/>
      <c r="S24" s="2208"/>
      <c r="T24" s="2208"/>
      <c r="U24" s="2209"/>
      <c r="V24" s="2207" cm="1">
        <f t="array" ref="V24">SUMPRODUCT((Application!$B$714:$B$738 = 'CalHFA Addendum'!V$18)*(Application!$AC$714:$AC$738 = 'CalHFA Addendum'!$B24),Application!$G$714:$G$738)</f>
        <v>0</v>
      </c>
      <c r="W24" s="2208"/>
      <c r="X24" s="2208"/>
      <c r="Y24" s="2208"/>
      <c r="Z24" s="2208"/>
      <c r="AA24" s="2209"/>
      <c r="AB24" s="2207" cm="1">
        <f t="array" ref="AB24">SUMPRODUCT((Application!$B$714:$B$738 = 'CalHFA Addendum'!AB$18)*(Application!$AC$714:$AC$738 = 'CalHFA Addendum'!$B24),Application!$G$714:$G$738)</f>
        <v>0</v>
      </c>
      <c r="AC24" s="2208"/>
      <c r="AD24" s="2208"/>
      <c r="AE24" s="2208"/>
      <c r="AF24" s="2208"/>
      <c r="AG24" s="2209"/>
      <c r="AH24" s="2207" cm="1">
        <f t="array" ref="AH24">SUMPRODUCT((Application!$B$714:$B$738 = 'CalHFA Addendum'!AH$18)*(Application!$AC$714:$AC$738 = 'CalHFA Addendum'!$B24),Application!$G$714:$G$738)</f>
        <v>0</v>
      </c>
      <c r="AI24" s="2208"/>
      <c r="AJ24" s="2208"/>
      <c r="AK24" s="2208"/>
      <c r="AL24" s="2208"/>
      <c r="AM24" s="2209"/>
      <c r="AN24" s="2207" cm="1">
        <f t="array" ref="AN24">SUMPRODUCT((Application!$B$714:$B$738 = 'CalHFA Addendum'!AN$18)*(Application!$AC$714:$AC$738 = 'CalHFA Addendum'!$B24),Application!$G$714:$G$738)</f>
        <v>0</v>
      </c>
      <c r="AO24" s="2208"/>
      <c r="AP24" s="2208"/>
      <c r="AQ24" s="2208"/>
      <c r="AR24" s="2208"/>
      <c r="AS24" s="2209"/>
      <c r="AT24" s="2210">
        <f t="shared" si="0"/>
        <v>0</v>
      </c>
      <c r="AU24" s="2211"/>
      <c r="AV24" s="2211"/>
      <c r="AW24" s="2211"/>
      <c r="AX24" s="2211"/>
      <c r="AY24" s="2212"/>
      <c r="AZ24" s="1207"/>
      <c r="BA24" s="1207"/>
      <c r="BB24" s="1207"/>
      <c r="BC24" s="1207"/>
      <c r="BD24" s="1207"/>
      <c r="BE24" s="1213"/>
    </row>
    <row r="25" spans="1:58" ht="15">
      <c r="A25" s="1207"/>
      <c r="B25" s="2213">
        <v>0.9</v>
      </c>
      <c r="C25" s="2214"/>
      <c r="D25" s="2214"/>
      <c r="E25" s="2214"/>
      <c r="F25" s="2214"/>
      <c r="G25" s="2214"/>
      <c r="H25" s="2214"/>
      <c r="I25" s="2215"/>
      <c r="J25" s="2207">
        <f t="shared" si="1"/>
        <v>0</v>
      </c>
      <c r="K25" s="2208"/>
      <c r="L25" s="2208"/>
      <c r="M25" s="2208"/>
      <c r="N25" s="2208"/>
      <c r="O25" s="2209"/>
      <c r="P25" s="2207" cm="1">
        <f t="array" ref="P25">SUMPRODUCT((Application!$B$714:$B$738 = 'CalHFA Addendum'!P$18)*(Application!$AC$714:$AC$738 = 'CalHFA Addendum'!$B25),Application!$G$714:$G$738)</f>
        <v>0</v>
      </c>
      <c r="Q25" s="2208"/>
      <c r="R25" s="2208"/>
      <c r="S25" s="2208"/>
      <c r="T25" s="2208"/>
      <c r="U25" s="2209"/>
      <c r="V25" s="2207" cm="1">
        <f t="array" ref="V25">SUMPRODUCT((Application!$B$714:$B$738 = 'CalHFA Addendum'!V$18)*(Application!$AC$714:$AC$738 = 'CalHFA Addendum'!$B25),Application!$G$714:$G$738)</f>
        <v>0</v>
      </c>
      <c r="W25" s="2208"/>
      <c r="X25" s="2208"/>
      <c r="Y25" s="2208"/>
      <c r="Z25" s="2208"/>
      <c r="AA25" s="2209"/>
      <c r="AB25" s="2207" cm="1">
        <f t="array" ref="AB25">SUMPRODUCT((Application!$B$714:$B$738 = 'CalHFA Addendum'!AB$18)*(Application!$AC$714:$AC$738 = 'CalHFA Addendum'!$B25),Application!$G$714:$G$738)</f>
        <v>0</v>
      </c>
      <c r="AC25" s="2208"/>
      <c r="AD25" s="2208"/>
      <c r="AE25" s="2208"/>
      <c r="AF25" s="2208"/>
      <c r="AG25" s="2209"/>
      <c r="AH25" s="2207" cm="1">
        <f t="array" ref="AH25">SUMPRODUCT((Application!$B$714:$B$738 = 'CalHFA Addendum'!AH$18)*(Application!$AC$714:$AC$738 = 'CalHFA Addendum'!$B25),Application!$G$714:$G$738)</f>
        <v>0</v>
      </c>
      <c r="AI25" s="2208"/>
      <c r="AJ25" s="2208"/>
      <c r="AK25" s="2208"/>
      <c r="AL25" s="2208"/>
      <c r="AM25" s="2209"/>
      <c r="AN25" s="2207" cm="1">
        <f t="array" ref="AN25">SUMPRODUCT((Application!$B$714:$B$738 = 'CalHFA Addendum'!AN$18)*(Application!$AC$714:$AC$738 = 'CalHFA Addendum'!$B25),Application!$G$714:$G$738)</f>
        <v>0</v>
      </c>
      <c r="AO25" s="2208"/>
      <c r="AP25" s="2208"/>
      <c r="AQ25" s="2208"/>
      <c r="AR25" s="2208"/>
      <c r="AS25" s="2209"/>
      <c r="AT25" s="2210">
        <f t="shared" si="0"/>
        <v>0</v>
      </c>
      <c r="AU25" s="2211"/>
      <c r="AV25" s="2211"/>
      <c r="AW25" s="2211"/>
      <c r="AX25" s="2211"/>
      <c r="AY25" s="2212"/>
      <c r="AZ25" s="1207"/>
      <c r="BA25" s="1207"/>
      <c r="BB25" s="1207"/>
      <c r="BC25" s="1207"/>
      <c r="BD25" s="1207"/>
      <c r="BE25" s="1213"/>
    </row>
    <row r="26" spans="1:58" ht="15">
      <c r="A26" s="1207"/>
      <c r="B26" s="2213">
        <v>1</v>
      </c>
      <c r="C26" s="2214"/>
      <c r="D26" s="2214"/>
      <c r="E26" s="2214"/>
      <c r="F26" s="2214"/>
      <c r="G26" s="2214"/>
      <c r="H26" s="2214"/>
      <c r="I26" s="2215"/>
      <c r="J26" s="2207">
        <f t="shared" si="1"/>
        <v>0</v>
      </c>
      <c r="K26" s="2208"/>
      <c r="L26" s="2208"/>
      <c r="M26" s="2208"/>
      <c r="N26" s="2208"/>
      <c r="O26" s="2209"/>
      <c r="P26" s="2207" cm="1">
        <f t="array" ref="P26">SUMPRODUCT((Application!$B$714:$B$738 = 'CalHFA Addendum'!P$18)*(Application!$AC$714:$AC$738 = 'CalHFA Addendum'!$B26),Application!$G$714:$G$738)</f>
        <v>0</v>
      </c>
      <c r="Q26" s="2208"/>
      <c r="R26" s="2208"/>
      <c r="S26" s="2208"/>
      <c r="T26" s="2208"/>
      <c r="U26" s="2209"/>
      <c r="V26" s="2207" cm="1">
        <f t="array" ref="V26">SUMPRODUCT((Application!$B$714:$B$738 = 'CalHFA Addendum'!V$18)*(Application!$AC$714:$AC$738 = 'CalHFA Addendum'!$B26),Application!$G$714:$G$738)</f>
        <v>0</v>
      </c>
      <c r="W26" s="2208"/>
      <c r="X26" s="2208"/>
      <c r="Y26" s="2208"/>
      <c r="Z26" s="2208"/>
      <c r="AA26" s="2209"/>
      <c r="AB26" s="2207" cm="1">
        <f t="array" ref="AB26">SUMPRODUCT((Application!$B$714:$B$738 = 'CalHFA Addendum'!AB$18)*(Application!$AC$714:$AC$738 = 'CalHFA Addendum'!$B26),Application!$G$714:$G$738)</f>
        <v>0</v>
      </c>
      <c r="AC26" s="2208"/>
      <c r="AD26" s="2208"/>
      <c r="AE26" s="2208"/>
      <c r="AF26" s="2208"/>
      <c r="AG26" s="2209"/>
      <c r="AH26" s="2207" cm="1">
        <f t="array" ref="AH26">SUMPRODUCT((Application!$B$714:$B$738 = 'CalHFA Addendum'!AH$18)*(Application!$AC$714:$AC$738 = 'CalHFA Addendum'!$B26),Application!$G$714:$G$738)</f>
        <v>0</v>
      </c>
      <c r="AI26" s="2208"/>
      <c r="AJ26" s="2208"/>
      <c r="AK26" s="2208"/>
      <c r="AL26" s="2208"/>
      <c r="AM26" s="2209"/>
      <c r="AN26" s="2207" cm="1">
        <f t="array" ref="AN26">SUMPRODUCT((Application!$B$714:$B$738 = 'CalHFA Addendum'!AN$18)*(Application!$AC$714:$AC$738 = 'CalHFA Addendum'!$B26),Application!$G$714:$G$738)</f>
        <v>0</v>
      </c>
      <c r="AO26" s="2208"/>
      <c r="AP26" s="2208"/>
      <c r="AQ26" s="2208"/>
      <c r="AR26" s="2208"/>
      <c r="AS26" s="2209"/>
      <c r="AT26" s="2210">
        <f t="shared" si="0"/>
        <v>0</v>
      </c>
      <c r="AU26" s="2211"/>
      <c r="AV26" s="2211"/>
      <c r="AW26" s="2211"/>
      <c r="AX26" s="2211"/>
      <c r="AY26" s="2212"/>
      <c r="AZ26" s="1207"/>
      <c r="BA26" s="1207"/>
      <c r="BB26" s="1207"/>
      <c r="BC26" s="1207"/>
      <c r="BD26" s="1207"/>
      <c r="BE26" s="1213"/>
    </row>
    <row r="27" spans="1:58" ht="15">
      <c r="A27" s="1207"/>
      <c r="B27" s="2213">
        <v>1.1000000000000001</v>
      </c>
      <c r="C27" s="2214"/>
      <c r="D27" s="2214"/>
      <c r="E27" s="2214"/>
      <c r="F27" s="2214"/>
      <c r="G27" s="2214"/>
      <c r="H27" s="2214"/>
      <c r="I27" s="2215"/>
      <c r="J27" s="2207">
        <f t="shared" si="1"/>
        <v>0</v>
      </c>
      <c r="K27" s="2208"/>
      <c r="L27" s="2208"/>
      <c r="M27" s="2208"/>
      <c r="N27" s="2208"/>
      <c r="O27" s="2209"/>
      <c r="P27" s="2207" cm="1">
        <f t="array" ref="P27">SUMPRODUCT((Application!$B$714:$B$738 = 'CalHFA Addendum'!P$18)*(Application!$AC$714:$AC$738 = 'CalHFA Addendum'!$B27),Application!$G$714:$G$738)</f>
        <v>0</v>
      </c>
      <c r="Q27" s="2208"/>
      <c r="R27" s="2208"/>
      <c r="S27" s="2208"/>
      <c r="T27" s="2208"/>
      <c r="U27" s="2209"/>
      <c r="V27" s="2207" cm="1">
        <f t="array" ref="V27">SUMPRODUCT((Application!$B$714:$B$738 = 'CalHFA Addendum'!V$18)*(Application!$AC$714:$AC$738 = 'CalHFA Addendum'!$B27),Application!$G$714:$G$738)</f>
        <v>0</v>
      </c>
      <c r="W27" s="2208"/>
      <c r="X27" s="2208"/>
      <c r="Y27" s="2208"/>
      <c r="Z27" s="2208"/>
      <c r="AA27" s="2209"/>
      <c r="AB27" s="2207" cm="1">
        <f t="array" ref="AB27">SUMPRODUCT((Application!$B$714:$B$738 = 'CalHFA Addendum'!AB$18)*(Application!$AC$714:$AC$738 = 'CalHFA Addendum'!$B27),Application!$G$714:$G$738)</f>
        <v>0</v>
      </c>
      <c r="AC27" s="2208"/>
      <c r="AD27" s="2208"/>
      <c r="AE27" s="2208"/>
      <c r="AF27" s="2208"/>
      <c r="AG27" s="2209"/>
      <c r="AH27" s="2207" cm="1">
        <f t="array" ref="AH27">SUMPRODUCT((Application!$B$714:$B$738 = 'CalHFA Addendum'!AH$18)*(Application!$AC$714:$AC$738 = 'CalHFA Addendum'!$B27),Application!$G$714:$G$738)</f>
        <v>0</v>
      </c>
      <c r="AI27" s="2208"/>
      <c r="AJ27" s="2208"/>
      <c r="AK27" s="2208"/>
      <c r="AL27" s="2208"/>
      <c r="AM27" s="2209"/>
      <c r="AN27" s="2207" cm="1">
        <f t="array" ref="AN27">SUMPRODUCT((Application!$B$714:$B$738 = 'CalHFA Addendum'!AN$18)*(Application!$AC$714:$AC$738 = 'CalHFA Addendum'!$B27),Application!$G$714:$G$738)</f>
        <v>0</v>
      </c>
      <c r="AO27" s="2208"/>
      <c r="AP27" s="2208"/>
      <c r="AQ27" s="2208"/>
      <c r="AR27" s="2208"/>
      <c r="AS27" s="2209"/>
      <c r="AT27" s="2210">
        <f t="shared" si="0"/>
        <v>0</v>
      </c>
      <c r="AU27" s="2211"/>
      <c r="AV27" s="2211"/>
      <c r="AW27" s="2211"/>
      <c r="AX27" s="2211"/>
      <c r="AY27" s="2212"/>
      <c r="AZ27" s="1207"/>
      <c r="BA27" s="1207"/>
      <c r="BB27" s="1207"/>
      <c r="BC27" s="1207"/>
      <c r="BD27" s="1207"/>
      <c r="BE27" s="1213"/>
    </row>
    <row r="28" spans="1:58" thickBot="1">
      <c r="A28" s="1207"/>
      <c r="B28" s="2216" t="s">
        <v>1867</v>
      </c>
      <c r="C28" s="2217"/>
      <c r="D28" s="2217"/>
      <c r="E28" s="2217"/>
      <c r="F28" s="2217"/>
      <c r="G28" s="2217"/>
      <c r="H28" s="2217"/>
      <c r="I28" s="2218"/>
      <c r="J28" s="2219">
        <f t="shared" si="1"/>
        <v>1</v>
      </c>
      <c r="K28" s="2220"/>
      <c r="L28" s="2220"/>
      <c r="M28" s="2220"/>
      <c r="N28" s="2220"/>
      <c r="O28" s="2221"/>
      <c r="P28" s="2219">
        <f>_xlfn.IFNA(VLOOKUP(P$18,Application!$J$758:$S$761,6,FALSE), 0)</f>
        <v>0</v>
      </c>
      <c r="Q28" s="2220"/>
      <c r="R28" s="2220"/>
      <c r="S28" s="2220"/>
      <c r="T28" s="2220"/>
      <c r="U28" s="2221"/>
      <c r="V28" s="2219">
        <f>_xlfn.IFNA(VLOOKUP(V$18,Application!$J$758:$S$761,6,FALSE), 0)</f>
        <v>0</v>
      </c>
      <c r="W28" s="2220"/>
      <c r="X28" s="2220"/>
      <c r="Y28" s="2220"/>
      <c r="Z28" s="2220"/>
      <c r="AA28" s="2221"/>
      <c r="AB28" s="2219">
        <f>_xlfn.IFNA(VLOOKUP(AB$18,Application!$J$758:$S$761,6,FALSE), 0)</f>
        <v>1</v>
      </c>
      <c r="AC28" s="2220"/>
      <c r="AD28" s="2220"/>
      <c r="AE28" s="2220"/>
      <c r="AF28" s="2220"/>
      <c r="AG28" s="2221"/>
      <c r="AH28" s="2219">
        <f>_xlfn.IFNA(VLOOKUP(AH$18,Application!$J$758:$S$761,6,FALSE), 0)</f>
        <v>0</v>
      </c>
      <c r="AI28" s="2220"/>
      <c r="AJ28" s="2220"/>
      <c r="AK28" s="2220"/>
      <c r="AL28" s="2220"/>
      <c r="AM28" s="2221"/>
      <c r="AN28" s="2219">
        <f>_xlfn.IFNA(VLOOKUP(AN$18,Application!$J$758:$S$761,6,FALSE), 0)</f>
        <v>0</v>
      </c>
      <c r="AO28" s="2220"/>
      <c r="AP28" s="2220"/>
      <c r="AQ28" s="2220"/>
      <c r="AR28" s="2220"/>
      <c r="AS28" s="2221"/>
      <c r="AT28" s="2222">
        <f t="shared" si="0"/>
        <v>1.4285714285714285E-2</v>
      </c>
      <c r="AU28" s="2223"/>
      <c r="AV28" s="2223"/>
      <c r="AW28" s="2223"/>
      <c r="AX28" s="2223"/>
      <c r="AY28" s="2224"/>
      <c r="AZ28" s="1207"/>
      <c r="BA28" s="1207"/>
      <c r="BB28" s="1207"/>
      <c r="BC28" s="1207"/>
      <c r="BD28" s="1207"/>
      <c r="BE28" s="1213"/>
    </row>
    <row r="29" spans="1:58" thickBot="1">
      <c r="A29" s="1207"/>
      <c r="B29" s="2247" t="s">
        <v>1764</v>
      </c>
      <c r="C29" s="2230"/>
      <c r="D29" s="2230"/>
      <c r="E29" s="2230"/>
      <c r="F29" s="2230"/>
      <c r="G29" s="2230"/>
      <c r="H29" s="2230"/>
      <c r="I29" s="2231"/>
      <c r="J29" s="2229">
        <f>SUM(J19:O28)</f>
        <v>70</v>
      </c>
      <c r="K29" s="2230"/>
      <c r="L29" s="2230"/>
      <c r="M29" s="2230"/>
      <c r="N29" s="2230"/>
      <c r="O29" s="2231"/>
      <c r="P29" s="2229">
        <f>SUM(P19:U28)</f>
        <v>0</v>
      </c>
      <c r="Q29" s="2230"/>
      <c r="R29" s="2230"/>
      <c r="S29" s="2230"/>
      <c r="T29" s="2230"/>
      <c r="U29" s="2231"/>
      <c r="V29" s="2229">
        <f>SUM(V19:AA28)</f>
        <v>18</v>
      </c>
      <c r="W29" s="2230"/>
      <c r="X29" s="2230"/>
      <c r="Y29" s="2230"/>
      <c r="Z29" s="2230"/>
      <c r="AA29" s="2231"/>
      <c r="AB29" s="2229">
        <f>SUM(AB19:AG28)</f>
        <v>34</v>
      </c>
      <c r="AC29" s="2230"/>
      <c r="AD29" s="2230"/>
      <c r="AE29" s="2230"/>
      <c r="AF29" s="2230"/>
      <c r="AG29" s="2231"/>
      <c r="AH29" s="2229">
        <f>SUM(AH19:AM28)</f>
        <v>18</v>
      </c>
      <c r="AI29" s="2230"/>
      <c r="AJ29" s="2230"/>
      <c r="AK29" s="2230"/>
      <c r="AL29" s="2230"/>
      <c r="AM29" s="2231"/>
      <c r="AN29" s="2229">
        <f>SUM(AN19:AS28)</f>
        <v>0</v>
      </c>
      <c r="AO29" s="2230"/>
      <c r="AP29" s="2230"/>
      <c r="AQ29" s="2230"/>
      <c r="AR29" s="2230"/>
      <c r="AS29" s="2231"/>
      <c r="AT29" s="2232">
        <f>J29/$J$29</f>
        <v>1</v>
      </c>
      <c r="AU29" s="2233"/>
      <c r="AV29" s="2233"/>
      <c r="AW29" s="2233"/>
      <c r="AX29" s="2233"/>
      <c r="AY29" s="2234"/>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5" t="s">
        <v>1868</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7"/>
      <c r="BA31" s="1207"/>
      <c r="BB31" s="1207"/>
      <c r="BC31" s="1207"/>
      <c r="BD31" s="1207"/>
      <c r="BE31" s="1213"/>
    </row>
    <row r="32" spans="1:58" ht="15">
      <c r="A32" s="1207"/>
      <c r="B32" s="2238" t="s">
        <v>2578</v>
      </c>
      <c r="C32" s="2239"/>
      <c r="D32" s="2239"/>
      <c r="E32" s="2239"/>
      <c r="F32" s="2239"/>
      <c r="G32" s="2239"/>
      <c r="H32" s="2239"/>
      <c r="I32" s="2239"/>
      <c r="J32" s="2241" t="s">
        <v>2579</v>
      </c>
      <c r="K32" s="2242"/>
      <c r="L32" s="2242"/>
      <c r="M32" s="2242"/>
      <c r="N32" s="2241" t="s">
        <v>1869</v>
      </c>
      <c r="O32" s="2242"/>
      <c r="P32" s="2242"/>
      <c r="Q32" s="2242"/>
      <c r="R32" s="2243" t="s">
        <v>1870</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4"/>
      <c r="BA32" s="1207"/>
      <c r="BB32" s="1207"/>
      <c r="BC32" s="1207"/>
      <c r="BD32" s="1207"/>
      <c r="BE32" s="1213"/>
    </row>
    <row r="33" spans="1:58" ht="15" customHeight="1">
      <c r="A33" s="1207"/>
      <c r="B33" s="2240"/>
      <c r="C33" s="2239"/>
      <c r="D33" s="2239"/>
      <c r="E33" s="2239"/>
      <c r="F33" s="2239"/>
      <c r="G33" s="2239"/>
      <c r="H33" s="2239"/>
      <c r="I33" s="2239"/>
      <c r="J33" s="2242"/>
      <c r="K33" s="2242"/>
      <c r="L33" s="2242"/>
      <c r="M33" s="2242"/>
      <c r="N33" s="2242"/>
      <c r="O33" s="2242"/>
      <c r="P33" s="2242"/>
      <c r="Q33" s="2242"/>
      <c r="R33" s="2245" t="s">
        <v>1871</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6"/>
      <c r="BA33" s="1214"/>
      <c r="BB33" s="1207"/>
      <c r="BC33" s="1207"/>
      <c r="BD33" s="1207"/>
      <c r="BE33" s="1213"/>
    </row>
    <row r="34" spans="1:58" ht="15.75" customHeight="1">
      <c r="A34" s="1207"/>
      <c r="B34" s="2240"/>
      <c r="C34" s="2239"/>
      <c r="D34" s="2239"/>
      <c r="E34" s="2239"/>
      <c r="F34" s="2239"/>
      <c r="G34" s="2239"/>
      <c r="H34" s="2239"/>
      <c r="I34" s="2239"/>
      <c r="J34" s="2242"/>
      <c r="K34" s="2242"/>
      <c r="L34" s="2242"/>
      <c r="M34" s="2242"/>
      <c r="N34" s="2242"/>
      <c r="O34" s="2242"/>
      <c r="P34" s="2242"/>
      <c r="Q34" s="2242"/>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6"/>
      <c r="BA34" s="1214"/>
      <c r="BB34" s="1207"/>
      <c r="BC34" s="1207"/>
      <c r="BD34" s="1207"/>
      <c r="BE34" s="1213"/>
    </row>
    <row r="35" spans="1:58" ht="15.75" customHeight="1">
      <c r="A35" s="1207"/>
      <c r="B35" s="2240"/>
      <c r="C35" s="2239"/>
      <c r="D35" s="2239"/>
      <c r="E35" s="2239"/>
      <c r="F35" s="2239"/>
      <c r="G35" s="2239"/>
      <c r="H35" s="2239"/>
      <c r="I35" s="2239"/>
      <c r="J35" s="2242"/>
      <c r="K35" s="2242"/>
      <c r="L35" s="2242"/>
      <c r="M35" s="2242"/>
      <c r="N35" s="2242"/>
      <c r="O35" s="2242"/>
      <c r="P35" s="2242"/>
      <c r="Q35" s="2242"/>
      <c r="R35" s="2225">
        <v>0.3</v>
      </c>
      <c r="S35" s="2225"/>
      <c r="T35" s="2225"/>
      <c r="U35" s="2225"/>
      <c r="V35" s="2225">
        <v>0.4</v>
      </c>
      <c r="W35" s="2225"/>
      <c r="X35" s="2225"/>
      <c r="Y35" s="2225"/>
      <c r="Z35" s="2225">
        <v>0.5</v>
      </c>
      <c r="AA35" s="2225"/>
      <c r="AB35" s="2225"/>
      <c r="AC35" s="2225"/>
      <c r="AD35" s="2225">
        <v>0.6</v>
      </c>
      <c r="AE35" s="2225"/>
      <c r="AF35" s="2225"/>
      <c r="AG35" s="2225"/>
      <c r="AH35" s="2225">
        <v>0.8</v>
      </c>
      <c r="AI35" s="2225"/>
      <c r="AJ35" s="2225"/>
      <c r="AK35" s="2225"/>
      <c r="AL35" s="2226">
        <v>1</v>
      </c>
      <c r="AM35" s="2226"/>
      <c r="AN35" s="2226"/>
      <c r="AO35" s="2227" t="s">
        <v>1872</v>
      </c>
      <c r="AP35" s="2227"/>
      <c r="AQ35" s="2227"/>
      <c r="AR35" s="2227"/>
      <c r="AS35" s="2227"/>
      <c r="AT35" s="2227"/>
      <c r="AU35" s="2227" t="s">
        <v>1873</v>
      </c>
      <c r="AV35" s="2227"/>
      <c r="AW35" s="2227"/>
      <c r="AX35" s="2227"/>
      <c r="AY35" s="2227"/>
      <c r="AZ35" s="2228"/>
      <c r="BA35" s="1214"/>
      <c r="BB35" s="1207"/>
      <c r="BC35" s="1207"/>
      <c r="BD35" s="1207"/>
      <c r="BE35" s="1213"/>
      <c r="BF35" s="1205"/>
    </row>
    <row r="36" spans="1:58" ht="15.75" customHeight="1">
      <c r="A36" s="1207"/>
      <c r="B36" s="2248" t="s">
        <v>1874</v>
      </c>
      <c r="C36" s="2249"/>
      <c r="D36" s="2249"/>
      <c r="E36" s="2249"/>
      <c r="F36" s="2249"/>
      <c r="G36" s="2249"/>
      <c r="H36" s="2249"/>
      <c r="I36" s="2249"/>
      <c r="J36" s="2250" t="s">
        <v>1875</v>
      </c>
      <c r="K36" s="2250"/>
      <c r="L36" s="2250"/>
      <c r="M36" s="2250"/>
      <c r="N36" s="2250">
        <v>55</v>
      </c>
      <c r="O36" s="2250"/>
      <c r="P36" s="2250"/>
      <c r="Q36" s="2250"/>
      <c r="R36" s="2251">
        <v>0</v>
      </c>
      <c r="S36" s="2251"/>
      <c r="T36" s="2251"/>
      <c r="U36" s="2251"/>
      <c r="V36" s="2251">
        <v>0</v>
      </c>
      <c r="W36" s="2251"/>
      <c r="X36" s="2251"/>
      <c r="Y36" s="2251"/>
      <c r="Z36" s="2251">
        <v>10</v>
      </c>
      <c r="AA36" s="2251"/>
      <c r="AB36" s="2251"/>
      <c r="AC36" s="2251"/>
      <c r="AD36" s="2251">
        <v>30</v>
      </c>
      <c r="AE36" s="2251"/>
      <c r="AF36" s="2251"/>
      <c r="AG36" s="2251"/>
      <c r="AH36" s="2251">
        <v>0</v>
      </c>
      <c r="AI36" s="2251"/>
      <c r="AJ36" s="2251"/>
      <c r="AK36" s="2251"/>
      <c r="AL36" s="2251">
        <v>0</v>
      </c>
      <c r="AM36" s="2251"/>
      <c r="AN36" s="2251"/>
      <c r="AO36" s="2252">
        <f>SUM(R36:AN36)</f>
        <v>40</v>
      </c>
      <c r="AP36" s="2252"/>
      <c r="AQ36" s="2252"/>
      <c r="AR36" s="2252"/>
      <c r="AS36" s="2252"/>
      <c r="AT36" s="2252"/>
      <c r="AU36" s="2253">
        <f>AO36/$J$29</f>
        <v>0.5714285714285714</v>
      </c>
      <c r="AV36" s="2253"/>
      <c r="AW36" s="2253"/>
      <c r="AX36" s="2253"/>
      <c r="AY36" s="2253"/>
      <c r="AZ36" s="2254"/>
      <c r="BA36" s="1207"/>
      <c r="BB36" s="1207"/>
      <c r="BC36" s="1207"/>
      <c r="BD36" s="1207"/>
      <c r="BE36" s="1213"/>
      <c r="BF36" s="1205"/>
    </row>
    <row r="37" spans="1:58" ht="15.75" customHeight="1">
      <c r="A37" s="1207"/>
      <c r="B37" s="2248" t="s">
        <v>2580</v>
      </c>
      <c r="C37" s="2249"/>
      <c r="D37" s="2249"/>
      <c r="E37" s="2249"/>
      <c r="F37" s="2249"/>
      <c r="G37" s="2249"/>
      <c r="H37" s="2249"/>
      <c r="I37" s="2249"/>
      <c r="J37" s="2250" t="s">
        <v>1876</v>
      </c>
      <c r="K37" s="2250"/>
      <c r="L37" s="2250"/>
      <c r="M37" s="2250"/>
      <c r="N37" s="2250">
        <v>55</v>
      </c>
      <c r="O37" s="2250"/>
      <c r="P37" s="2250"/>
      <c r="Q37" s="2250"/>
      <c r="R37" s="2251">
        <v>10</v>
      </c>
      <c r="S37" s="2251"/>
      <c r="T37" s="2251"/>
      <c r="U37" s="2251"/>
      <c r="V37" s="2251"/>
      <c r="W37" s="2251"/>
      <c r="X37" s="2251"/>
      <c r="Y37" s="2251"/>
      <c r="Z37" s="2251"/>
      <c r="AA37" s="2251"/>
      <c r="AB37" s="2251"/>
      <c r="AC37" s="2251"/>
      <c r="AD37" s="2251"/>
      <c r="AE37" s="2251"/>
      <c r="AF37" s="2251"/>
      <c r="AG37" s="2251"/>
      <c r="AH37" s="2251"/>
      <c r="AI37" s="2251"/>
      <c r="AJ37" s="2251"/>
      <c r="AK37" s="2251"/>
      <c r="AL37" s="2251"/>
      <c r="AM37" s="2251"/>
      <c r="AN37" s="2251"/>
      <c r="AO37" s="2252">
        <f t="shared" ref="AO37:AO47" si="2">SUM(R37:AN37)</f>
        <v>10</v>
      </c>
      <c r="AP37" s="2252"/>
      <c r="AQ37" s="2252"/>
      <c r="AR37" s="2252"/>
      <c r="AS37" s="2252"/>
      <c r="AT37" s="2252"/>
      <c r="AU37" s="2253">
        <f t="shared" ref="AU37:AU47" si="3">AO37/$J$29</f>
        <v>0.14285714285714285</v>
      </c>
      <c r="AV37" s="2253"/>
      <c r="AW37" s="2253"/>
      <c r="AX37" s="2253"/>
      <c r="AY37" s="2253"/>
      <c r="AZ37" s="2254"/>
      <c r="BA37" s="1207"/>
      <c r="BB37" s="1207"/>
      <c r="BC37" s="1207"/>
      <c r="BD37" s="1207"/>
      <c r="BE37" s="1213"/>
      <c r="BF37" s="1205"/>
    </row>
    <row r="38" spans="1:58" ht="15.75" customHeight="1">
      <c r="A38" s="1207"/>
      <c r="B38" s="2248" t="s">
        <v>2518</v>
      </c>
      <c r="C38" s="2249"/>
      <c r="D38" s="2249"/>
      <c r="E38" s="2249"/>
      <c r="F38" s="2249"/>
      <c r="G38" s="2249"/>
      <c r="H38" s="2249"/>
      <c r="I38" s="2249"/>
      <c r="J38" s="2250" t="s">
        <v>1877</v>
      </c>
      <c r="K38" s="2250"/>
      <c r="L38" s="2250"/>
      <c r="M38" s="2250"/>
      <c r="N38" s="2250">
        <v>55</v>
      </c>
      <c r="O38" s="2250"/>
      <c r="P38" s="2250"/>
      <c r="Q38" s="2250"/>
      <c r="R38" s="2251"/>
      <c r="S38" s="2251"/>
      <c r="T38" s="2251"/>
      <c r="U38" s="2251"/>
      <c r="V38" s="2251"/>
      <c r="W38" s="2251"/>
      <c r="X38" s="2251"/>
      <c r="Y38" s="2251"/>
      <c r="Z38" s="2251"/>
      <c r="AA38" s="2251"/>
      <c r="AB38" s="2251"/>
      <c r="AC38" s="2251"/>
      <c r="AD38" s="2251"/>
      <c r="AE38" s="2251"/>
      <c r="AF38" s="2251"/>
      <c r="AG38" s="2251"/>
      <c r="AH38" s="2251"/>
      <c r="AI38" s="2251"/>
      <c r="AJ38" s="2251"/>
      <c r="AK38" s="2251"/>
      <c r="AL38" s="2251"/>
      <c r="AM38" s="2251"/>
      <c r="AN38" s="2251"/>
      <c r="AO38" s="2252">
        <f t="shared" si="2"/>
        <v>0</v>
      </c>
      <c r="AP38" s="2252"/>
      <c r="AQ38" s="2252"/>
      <c r="AR38" s="2252"/>
      <c r="AS38" s="2252"/>
      <c r="AT38" s="2252"/>
      <c r="AU38" s="2253">
        <f t="shared" si="3"/>
        <v>0</v>
      </c>
      <c r="AV38" s="2253"/>
      <c r="AW38" s="2253"/>
      <c r="AX38" s="2253"/>
      <c r="AY38" s="2253"/>
      <c r="AZ38" s="2254"/>
      <c r="BA38" s="1207"/>
      <c r="BB38" s="1207"/>
      <c r="BC38" s="1207"/>
      <c r="BD38" s="1207"/>
      <c r="BE38" s="1213"/>
      <c r="BF38" s="1205"/>
    </row>
    <row r="39" spans="1:58" ht="15.75" customHeight="1">
      <c r="A39" s="1207"/>
      <c r="B39" s="2248" t="s">
        <v>1878</v>
      </c>
      <c r="C39" s="2249"/>
      <c r="D39" s="2249"/>
      <c r="E39" s="2249"/>
      <c r="F39" s="2249"/>
      <c r="G39" s="2249"/>
      <c r="H39" s="2249"/>
      <c r="I39" s="2249"/>
      <c r="J39" s="2250"/>
      <c r="K39" s="2250"/>
      <c r="L39" s="2250"/>
      <c r="M39" s="2250"/>
      <c r="N39" s="2250"/>
      <c r="O39" s="2250"/>
      <c r="P39" s="2250"/>
      <c r="Q39" s="2250"/>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1"/>
      <c r="AO39" s="2252">
        <f t="shared" si="2"/>
        <v>0</v>
      </c>
      <c r="AP39" s="2252"/>
      <c r="AQ39" s="2252"/>
      <c r="AR39" s="2252"/>
      <c r="AS39" s="2252"/>
      <c r="AT39" s="2252"/>
      <c r="AU39" s="2253">
        <f t="shared" si="3"/>
        <v>0</v>
      </c>
      <c r="AV39" s="2253"/>
      <c r="AW39" s="2253"/>
      <c r="AX39" s="2253"/>
      <c r="AY39" s="2253"/>
      <c r="AZ39" s="2254"/>
      <c r="BA39" s="1207"/>
      <c r="BB39" s="1207"/>
      <c r="BC39" s="1207"/>
      <c r="BD39" s="1207"/>
      <c r="BE39" s="1213"/>
    </row>
    <row r="40" spans="1:58" ht="15.75" customHeight="1">
      <c r="A40" s="1207"/>
      <c r="B40" s="2248" t="s">
        <v>1878</v>
      </c>
      <c r="C40" s="2249"/>
      <c r="D40" s="2249"/>
      <c r="E40" s="2249"/>
      <c r="F40" s="2249"/>
      <c r="G40" s="2249"/>
      <c r="H40" s="2249"/>
      <c r="I40" s="2249"/>
      <c r="J40" s="2250"/>
      <c r="K40" s="2250"/>
      <c r="L40" s="2250"/>
      <c r="M40" s="2250"/>
      <c r="N40" s="2250"/>
      <c r="O40" s="2250"/>
      <c r="P40" s="2250"/>
      <c r="Q40" s="2250"/>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1"/>
      <c r="AM40" s="2251"/>
      <c r="AN40" s="2251"/>
      <c r="AO40" s="2252">
        <f t="shared" si="2"/>
        <v>0</v>
      </c>
      <c r="AP40" s="2252"/>
      <c r="AQ40" s="2252"/>
      <c r="AR40" s="2252"/>
      <c r="AS40" s="2252"/>
      <c r="AT40" s="2252"/>
      <c r="AU40" s="2253">
        <f t="shared" si="3"/>
        <v>0</v>
      </c>
      <c r="AV40" s="2253"/>
      <c r="AW40" s="2253"/>
      <c r="AX40" s="2253"/>
      <c r="AY40" s="2253"/>
      <c r="AZ40" s="2254"/>
      <c r="BA40" s="1207"/>
      <c r="BB40" s="1207"/>
      <c r="BC40" s="1207"/>
      <c r="BD40" s="1207"/>
      <c r="BE40" s="1213"/>
    </row>
    <row r="41" spans="1:58" ht="15.75" customHeight="1">
      <c r="A41" s="1207"/>
      <c r="B41" s="2248" t="s">
        <v>1879</v>
      </c>
      <c r="C41" s="2249"/>
      <c r="D41" s="2249"/>
      <c r="E41" s="2249"/>
      <c r="F41" s="2249"/>
      <c r="G41" s="2249"/>
      <c r="H41" s="2249"/>
      <c r="I41" s="2249"/>
      <c r="J41" s="2250"/>
      <c r="K41" s="2250"/>
      <c r="L41" s="2250"/>
      <c r="M41" s="2250"/>
      <c r="N41" s="2250"/>
      <c r="O41" s="2250"/>
      <c r="P41" s="2250"/>
      <c r="Q41" s="2250"/>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1"/>
      <c r="AM41" s="2251"/>
      <c r="AN41" s="2251"/>
      <c r="AO41" s="2252">
        <f t="shared" si="2"/>
        <v>0</v>
      </c>
      <c r="AP41" s="2252"/>
      <c r="AQ41" s="2252"/>
      <c r="AR41" s="2252"/>
      <c r="AS41" s="2252"/>
      <c r="AT41" s="2252"/>
      <c r="AU41" s="2253">
        <f t="shared" si="3"/>
        <v>0</v>
      </c>
      <c r="AV41" s="2253"/>
      <c r="AW41" s="2253"/>
      <c r="AX41" s="2253"/>
      <c r="AY41" s="2253"/>
      <c r="AZ41" s="2254"/>
      <c r="BA41" s="1207"/>
      <c r="BB41" s="1207"/>
      <c r="BC41" s="1207"/>
      <c r="BD41" s="1207"/>
      <c r="BE41" s="1213"/>
    </row>
    <row r="42" spans="1:58" ht="15.75" customHeight="1">
      <c r="A42" s="1207"/>
      <c r="B42" s="2248" t="s">
        <v>1879</v>
      </c>
      <c r="C42" s="2249"/>
      <c r="D42" s="2249"/>
      <c r="E42" s="2249"/>
      <c r="F42" s="2249"/>
      <c r="G42" s="2249"/>
      <c r="H42" s="2249"/>
      <c r="I42" s="2249"/>
      <c r="J42" s="2250"/>
      <c r="K42" s="2250"/>
      <c r="L42" s="2250"/>
      <c r="M42" s="2250"/>
      <c r="N42" s="2250"/>
      <c r="O42" s="2250"/>
      <c r="P42" s="2250"/>
      <c r="Q42" s="2250"/>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1"/>
      <c r="AM42" s="2251"/>
      <c r="AN42" s="2251"/>
      <c r="AO42" s="2252">
        <f t="shared" si="2"/>
        <v>0</v>
      </c>
      <c r="AP42" s="2252"/>
      <c r="AQ42" s="2252"/>
      <c r="AR42" s="2252"/>
      <c r="AS42" s="2252"/>
      <c r="AT42" s="2252"/>
      <c r="AU42" s="2253">
        <f t="shared" si="3"/>
        <v>0</v>
      </c>
      <c r="AV42" s="2253"/>
      <c r="AW42" s="2253"/>
      <c r="AX42" s="2253"/>
      <c r="AY42" s="2253"/>
      <c r="AZ42" s="2254"/>
      <c r="BA42" s="1207"/>
      <c r="BB42" s="1207"/>
      <c r="BC42" s="1207"/>
      <c r="BD42" s="1207"/>
      <c r="BE42" s="1213"/>
    </row>
    <row r="43" spans="1:58" ht="15.75" customHeight="1">
      <c r="A43" s="1207"/>
      <c r="B43" s="2255" t="s">
        <v>1880</v>
      </c>
      <c r="C43" s="2256"/>
      <c r="D43" s="2256"/>
      <c r="E43" s="2256"/>
      <c r="F43" s="2256"/>
      <c r="G43" s="2256"/>
      <c r="H43" s="2256"/>
      <c r="I43" s="2256"/>
      <c r="J43" s="2250"/>
      <c r="K43" s="2250"/>
      <c r="L43" s="2250"/>
      <c r="M43" s="2250"/>
      <c r="N43" s="2250"/>
      <c r="O43" s="2250"/>
      <c r="P43" s="2250"/>
      <c r="Q43" s="2250"/>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1"/>
      <c r="AM43" s="2251"/>
      <c r="AN43" s="2251"/>
      <c r="AO43" s="2252">
        <f t="shared" si="2"/>
        <v>0</v>
      </c>
      <c r="AP43" s="2252"/>
      <c r="AQ43" s="2252"/>
      <c r="AR43" s="2252"/>
      <c r="AS43" s="2252"/>
      <c r="AT43" s="2252"/>
      <c r="AU43" s="2253">
        <f t="shared" si="3"/>
        <v>0</v>
      </c>
      <c r="AV43" s="2253"/>
      <c r="AW43" s="2253"/>
      <c r="AX43" s="2253"/>
      <c r="AY43" s="2253"/>
      <c r="AZ43" s="2254"/>
      <c r="BA43" s="1207"/>
      <c r="BB43" s="1207"/>
      <c r="BC43" s="1207"/>
      <c r="BD43" s="1207"/>
      <c r="BE43" s="1213"/>
    </row>
    <row r="44" spans="1:58" ht="15.75" customHeight="1">
      <c r="A44" s="1207"/>
      <c r="B44" s="2255" t="s">
        <v>1881</v>
      </c>
      <c r="C44" s="2256"/>
      <c r="D44" s="2256"/>
      <c r="E44" s="2256"/>
      <c r="F44" s="2256"/>
      <c r="G44" s="2256"/>
      <c r="H44" s="2256"/>
      <c r="I44" s="2256"/>
      <c r="J44" s="2250"/>
      <c r="K44" s="2250"/>
      <c r="L44" s="2250"/>
      <c r="M44" s="2250"/>
      <c r="N44" s="2250"/>
      <c r="O44" s="2250"/>
      <c r="P44" s="2250"/>
      <c r="Q44" s="2250"/>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1"/>
      <c r="AM44" s="2251"/>
      <c r="AN44" s="2251"/>
      <c r="AO44" s="2252">
        <f t="shared" si="2"/>
        <v>0</v>
      </c>
      <c r="AP44" s="2252"/>
      <c r="AQ44" s="2252"/>
      <c r="AR44" s="2252"/>
      <c r="AS44" s="2252"/>
      <c r="AT44" s="2252"/>
      <c r="AU44" s="2253">
        <f t="shared" si="3"/>
        <v>0</v>
      </c>
      <c r="AV44" s="2253"/>
      <c r="AW44" s="2253"/>
      <c r="AX44" s="2253"/>
      <c r="AY44" s="2253"/>
      <c r="AZ44" s="2254"/>
      <c r="BA44" s="1207"/>
      <c r="BB44" s="1207"/>
      <c r="BC44" s="1207"/>
      <c r="BD44" s="1207"/>
      <c r="BE44" s="1213"/>
    </row>
    <row r="45" spans="1:58" ht="15.75" customHeight="1">
      <c r="A45" s="1207"/>
      <c r="B45" s="2255" t="s">
        <v>1882</v>
      </c>
      <c r="C45" s="2256"/>
      <c r="D45" s="2256"/>
      <c r="E45" s="2256"/>
      <c r="F45" s="2256"/>
      <c r="G45" s="2256"/>
      <c r="H45" s="2256"/>
      <c r="I45" s="2256"/>
      <c r="J45" s="2250"/>
      <c r="K45" s="2250"/>
      <c r="L45" s="2250"/>
      <c r="M45" s="2250"/>
      <c r="N45" s="2250"/>
      <c r="O45" s="2250"/>
      <c r="P45" s="2250"/>
      <c r="Q45" s="2250"/>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51"/>
      <c r="AM45" s="2251"/>
      <c r="AN45" s="2251"/>
      <c r="AO45" s="2252">
        <f t="shared" si="2"/>
        <v>0</v>
      </c>
      <c r="AP45" s="2252"/>
      <c r="AQ45" s="2252"/>
      <c r="AR45" s="2252"/>
      <c r="AS45" s="2252"/>
      <c r="AT45" s="2252"/>
      <c r="AU45" s="2253">
        <f t="shared" si="3"/>
        <v>0</v>
      </c>
      <c r="AV45" s="2253"/>
      <c r="AW45" s="2253"/>
      <c r="AX45" s="2253"/>
      <c r="AY45" s="2253"/>
      <c r="AZ45" s="2254"/>
      <c r="BA45" s="1207"/>
      <c r="BB45" s="1207"/>
      <c r="BC45" s="1207"/>
      <c r="BD45" s="1207"/>
      <c r="BE45" s="1213"/>
    </row>
    <row r="46" spans="1:58" ht="15.75" customHeight="1">
      <c r="A46" s="1207"/>
      <c r="B46" s="2255" t="s">
        <v>1883</v>
      </c>
      <c r="C46" s="2256"/>
      <c r="D46" s="2256"/>
      <c r="E46" s="2256"/>
      <c r="F46" s="2256"/>
      <c r="G46" s="2256"/>
      <c r="H46" s="2256"/>
      <c r="I46" s="2256"/>
      <c r="J46" s="2250"/>
      <c r="K46" s="2250"/>
      <c r="L46" s="2250"/>
      <c r="M46" s="2250"/>
      <c r="N46" s="2250">
        <v>99</v>
      </c>
      <c r="O46" s="2250"/>
      <c r="P46" s="2250"/>
      <c r="Q46" s="2250"/>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51"/>
      <c r="AM46" s="2251"/>
      <c r="AN46" s="2251"/>
      <c r="AO46" s="2252">
        <f t="shared" si="2"/>
        <v>0</v>
      </c>
      <c r="AP46" s="2252"/>
      <c r="AQ46" s="2252"/>
      <c r="AR46" s="2252"/>
      <c r="AS46" s="2252"/>
      <c r="AT46" s="2252"/>
      <c r="AU46" s="2253">
        <f t="shared" si="3"/>
        <v>0</v>
      </c>
      <c r="AV46" s="2253"/>
      <c r="AW46" s="2253"/>
      <c r="AX46" s="2253"/>
      <c r="AY46" s="2253"/>
      <c r="AZ46" s="2254"/>
      <c r="BA46" s="1207"/>
      <c r="BB46" s="1207"/>
      <c r="BC46" s="1207"/>
      <c r="BD46" s="1207"/>
      <c r="BE46" s="1213"/>
    </row>
    <row r="47" spans="1:58" ht="15.75" customHeight="1" thickBot="1">
      <c r="A47" s="1207"/>
      <c r="B47" s="2259" t="s">
        <v>302</v>
      </c>
      <c r="C47" s="2260"/>
      <c r="D47" s="2260"/>
      <c r="E47" s="2260"/>
      <c r="F47" s="2260"/>
      <c r="G47" s="2260"/>
      <c r="H47" s="2260"/>
      <c r="I47" s="2260"/>
      <c r="J47" s="2261"/>
      <c r="K47" s="2261"/>
      <c r="L47" s="2261"/>
      <c r="M47" s="2261"/>
      <c r="N47" s="2261"/>
      <c r="O47" s="2261"/>
      <c r="P47" s="2261"/>
      <c r="Q47" s="2261"/>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6">
        <f t="shared" si="2"/>
        <v>0</v>
      </c>
      <c r="AP47" s="2266"/>
      <c r="AQ47" s="2266"/>
      <c r="AR47" s="2266"/>
      <c r="AS47" s="2266"/>
      <c r="AT47" s="2266"/>
      <c r="AU47" s="2257">
        <f t="shared" si="3"/>
        <v>0</v>
      </c>
      <c r="AV47" s="2257"/>
      <c r="AW47" s="2257"/>
      <c r="AX47" s="2257"/>
      <c r="AY47" s="2257"/>
      <c r="AZ47" s="2258"/>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5" t="s">
        <v>1884</v>
      </c>
      <c r="C50" s="2236"/>
      <c r="D50" s="2236"/>
      <c r="E50" s="2236"/>
      <c r="F50" s="2236"/>
      <c r="G50" s="2236"/>
      <c r="H50" s="2236"/>
      <c r="I50" s="2236"/>
      <c r="J50" s="2236"/>
      <c r="K50" s="2236"/>
      <c r="L50" s="2236"/>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63" t="s">
        <v>1885</v>
      </c>
      <c r="C51" s="2264"/>
      <c r="D51" s="2264"/>
      <c r="E51" s="2264"/>
      <c r="F51" s="2264"/>
      <c r="G51" s="2264"/>
      <c r="H51" s="2264"/>
      <c r="I51" s="2264"/>
      <c r="J51" s="2264" t="s">
        <v>2582</v>
      </c>
      <c r="K51" s="2264"/>
      <c r="L51" s="2264"/>
      <c r="M51" s="2264"/>
      <c r="N51" s="2264"/>
      <c r="O51" s="2264"/>
      <c r="P51" s="2264"/>
      <c r="Q51" s="2264"/>
      <c r="R51" s="2245" t="s">
        <v>2583</v>
      </c>
      <c r="S51" s="2245"/>
      <c r="T51" s="2245"/>
      <c r="U51" s="2245"/>
      <c r="V51" s="2245"/>
      <c r="W51" s="2245"/>
      <c r="X51" s="2245"/>
      <c r="Y51" s="2245"/>
      <c r="Z51" s="2245" t="s">
        <v>1886</v>
      </c>
      <c r="AA51" s="2245"/>
      <c r="AB51" s="2245"/>
      <c r="AC51" s="2245"/>
      <c r="AD51" s="2245"/>
      <c r="AE51" s="2245"/>
      <c r="AF51" s="2245"/>
      <c r="AG51" s="2245"/>
      <c r="AH51" s="2245" t="s">
        <v>1887</v>
      </c>
      <c r="AI51" s="2245"/>
      <c r="AJ51" s="2245"/>
      <c r="AK51" s="2245"/>
      <c r="AL51" s="2245"/>
      <c r="AM51" s="2245"/>
      <c r="AN51" s="2245"/>
      <c r="AO51" s="226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5" t="s">
        <v>2260</v>
      </c>
      <c r="C52" s="2256"/>
      <c r="D52" s="2256"/>
      <c r="E52" s="2256"/>
      <c r="F52" s="2256"/>
      <c r="G52" s="2256"/>
      <c r="H52" s="2256"/>
      <c r="I52" s="2256"/>
      <c r="J52" s="2267">
        <v>0</v>
      </c>
      <c r="K52" s="2267"/>
      <c r="L52" s="2267"/>
      <c r="M52" s="2267"/>
      <c r="N52" s="2267"/>
      <c r="O52" s="2267"/>
      <c r="P52" s="2267"/>
      <c r="Q52" s="2267"/>
      <c r="R52" s="2268">
        <v>0</v>
      </c>
      <c r="S52" s="2268"/>
      <c r="T52" s="2268"/>
      <c r="U52" s="2268"/>
      <c r="V52" s="2268"/>
      <c r="W52" s="2268"/>
      <c r="X52" s="2268"/>
      <c r="Y52" s="2268"/>
      <c r="Z52" s="2269">
        <v>0</v>
      </c>
      <c r="AA52" s="2269"/>
      <c r="AB52" s="2269"/>
      <c r="AC52" s="2269"/>
      <c r="AD52" s="2269"/>
      <c r="AE52" s="2269"/>
      <c r="AF52" s="2269"/>
      <c r="AG52" s="2269"/>
      <c r="AH52" s="2270"/>
      <c r="AI52" s="2270"/>
      <c r="AJ52" s="2270"/>
      <c r="AK52" s="2270"/>
      <c r="AL52" s="2270"/>
      <c r="AM52" s="2270"/>
      <c r="AN52" s="2270"/>
      <c r="AO52" s="2271"/>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5" t="s">
        <v>2261</v>
      </c>
      <c r="C53" s="2256"/>
      <c r="D53" s="2256"/>
      <c r="E53" s="2256"/>
      <c r="F53" s="2256"/>
      <c r="G53" s="2256"/>
      <c r="H53" s="2256"/>
      <c r="I53" s="2256"/>
      <c r="J53" s="2267">
        <v>0</v>
      </c>
      <c r="K53" s="2267"/>
      <c r="L53" s="2267"/>
      <c r="M53" s="2267"/>
      <c r="N53" s="2267"/>
      <c r="O53" s="2267"/>
      <c r="P53" s="2267"/>
      <c r="Q53" s="2267"/>
      <c r="R53" s="2268">
        <v>0</v>
      </c>
      <c r="S53" s="2268"/>
      <c r="T53" s="2268"/>
      <c r="U53" s="2268"/>
      <c r="V53" s="2268"/>
      <c r="W53" s="2268"/>
      <c r="X53" s="2268"/>
      <c r="Y53" s="2268"/>
      <c r="Z53" s="2269">
        <v>0</v>
      </c>
      <c r="AA53" s="2269"/>
      <c r="AB53" s="2269"/>
      <c r="AC53" s="2269"/>
      <c r="AD53" s="2269"/>
      <c r="AE53" s="2269"/>
      <c r="AF53" s="2269"/>
      <c r="AG53" s="2269"/>
      <c r="AH53" s="2270"/>
      <c r="AI53" s="2270"/>
      <c r="AJ53" s="2270"/>
      <c r="AK53" s="2270"/>
      <c r="AL53" s="2270"/>
      <c r="AM53" s="2270"/>
      <c r="AN53" s="2270"/>
      <c r="AO53" s="2271"/>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5"/>
      <c r="C54" s="2256"/>
      <c r="D54" s="2256"/>
      <c r="E54" s="2256"/>
      <c r="F54" s="2256"/>
      <c r="G54" s="2256"/>
      <c r="H54" s="2256"/>
      <c r="I54" s="2256"/>
      <c r="J54" s="2267"/>
      <c r="K54" s="2267"/>
      <c r="L54" s="2267"/>
      <c r="M54" s="2267"/>
      <c r="N54" s="2267"/>
      <c r="O54" s="2267"/>
      <c r="P54" s="2267"/>
      <c r="Q54" s="2267"/>
      <c r="R54" s="2268"/>
      <c r="S54" s="2268"/>
      <c r="T54" s="2268"/>
      <c r="U54" s="2268"/>
      <c r="V54" s="2268"/>
      <c r="W54" s="2268"/>
      <c r="X54" s="2268"/>
      <c r="Y54" s="2268"/>
      <c r="Z54" s="2269"/>
      <c r="AA54" s="2269"/>
      <c r="AB54" s="2269"/>
      <c r="AC54" s="2269"/>
      <c r="AD54" s="2269"/>
      <c r="AE54" s="2269"/>
      <c r="AF54" s="2269"/>
      <c r="AG54" s="2269"/>
      <c r="AH54" s="2270"/>
      <c r="AI54" s="2270"/>
      <c r="AJ54" s="2270"/>
      <c r="AK54" s="2270"/>
      <c r="AL54" s="2270"/>
      <c r="AM54" s="2270"/>
      <c r="AN54" s="2270"/>
      <c r="AO54" s="2271"/>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5"/>
      <c r="C55" s="2256"/>
      <c r="D55" s="2256"/>
      <c r="E55" s="2256"/>
      <c r="F55" s="2256"/>
      <c r="G55" s="2256"/>
      <c r="H55" s="2256"/>
      <c r="I55" s="2256"/>
      <c r="J55" s="2267"/>
      <c r="K55" s="2267"/>
      <c r="L55" s="2267"/>
      <c r="M55" s="2267"/>
      <c r="N55" s="2267"/>
      <c r="O55" s="2267"/>
      <c r="P55" s="2267"/>
      <c r="Q55" s="2267"/>
      <c r="R55" s="2268"/>
      <c r="S55" s="2268"/>
      <c r="T55" s="2268"/>
      <c r="U55" s="2268"/>
      <c r="V55" s="2268"/>
      <c r="W55" s="2268"/>
      <c r="X55" s="2268"/>
      <c r="Y55" s="2268"/>
      <c r="Z55" s="2269"/>
      <c r="AA55" s="2269"/>
      <c r="AB55" s="2269"/>
      <c r="AC55" s="2269"/>
      <c r="AD55" s="2269"/>
      <c r="AE55" s="2269"/>
      <c r="AF55" s="2269"/>
      <c r="AG55" s="2269"/>
      <c r="AH55" s="2270"/>
      <c r="AI55" s="2270"/>
      <c r="AJ55" s="2270"/>
      <c r="AK55" s="2270"/>
      <c r="AL55" s="2270"/>
      <c r="AM55" s="2270"/>
      <c r="AN55" s="2270"/>
      <c r="AO55" s="2271"/>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55"/>
      <c r="C56" s="2256"/>
      <c r="D56" s="2256"/>
      <c r="E56" s="2256"/>
      <c r="F56" s="2256"/>
      <c r="G56" s="2256"/>
      <c r="H56" s="2256"/>
      <c r="I56" s="2256"/>
      <c r="J56" s="2267"/>
      <c r="K56" s="2267"/>
      <c r="L56" s="2267"/>
      <c r="M56" s="2267"/>
      <c r="N56" s="2267"/>
      <c r="O56" s="2267"/>
      <c r="P56" s="2267"/>
      <c r="Q56" s="2267"/>
      <c r="R56" s="2268"/>
      <c r="S56" s="2268"/>
      <c r="T56" s="2268"/>
      <c r="U56" s="2268"/>
      <c r="V56" s="2268"/>
      <c r="W56" s="2268"/>
      <c r="X56" s="2268"/>
      <c r="Y56" s="2268"/>
      <c r="Z56" s="2269"/>
      <c r="AA56" s="2269"/>
      <c r="AB56" s="2269"/>
      <c r="AC56" s="2269"/>
      <c r="AD56" s="2269"/>
      <c r="AE56" s="2269"/>
      <c r="AF56" s="2269"/>
      <c r="AG56" s="2269"/>
      <c r="AH56" s="2270"/>
      <c r="AI56" s="2270"/>
      <c r="AJ56" s="2270"/>
      <c r="AK56" s="2270"/>
      <c r="AL56" s="2270"/>
      <c r="AM56" s="2270"/>
      <c r="AN56" s="2270"/>
      <c r="AO56" s="2271"/>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81" t="s">
        <v>1764</v>
      </c>
      <c r="C57" s="2282"/>
      <c r="D57" s="2282"/>
      <c r="E57" s="2282"/>
      <c r="F57" s="2282"/>
      <c r="G57" s="2282"/>
      <c r="H57" s="2282"/>
      <c r="I57" s="2282"/>
      <c r="J57" s="2282"/>
      <c r="K57" s="2282"/>
      <c r="L57" s="2282"/>
      <c r="M57" s="2282"/>
      <c r="N57" s="2282"/>
      <c r="O57" s="2282"/>
      <c r="P57" s="2282"/>
      <c r="Q57" s="2282"/>
      <c r="R57" s="2283">
        <f>SUM(R52:Y56)</f>
        <v>0</v>
      </c>
      <c r="S57" s="2283"/>
      <c r="T57" s="2283"/>
      <c r="U57" s="2283"/>
      <c r="V57" s="2283"/>
      <c r="W57" s="2283"/>
      <c r="X57" s="2283"/>
      <c r="Y57" s="2283"/>
      <c r="Z57" s="2284">
        <f>SUM(Z52:AG56)</f>
        <v>0</v>
      </c>
      <c r="AA57" s="2284"/>
      <c r="AB57" s="2284"/>
      <c r="AC57" s="2284"/>
      <c r="AD57" s="2284"/>
      <c r="AE57" s="2284"/>
      <c r="AF57" s="2284"/>
      <c r="AG57" s="2284"/>
      <c r="AH57" s="2285"/>
      <c r="AI57" s="2285"/>
      <c r="AJ57" s="2285"/>
      <c r="AK57" s="2285"/>
      <c r="AL57" s="2285"/>
      <c r="AM57" s="2285"/>
      <c r="AN57" s="2285"/>
      <c r="AO57" s="228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72" t="s">
        <v>1885</v>
      </c>
      <c r="C59" s="2273"/>
      <c r="D59" s="2273"/>
      <c r="E59" s="2273"/>
      <c r="F59" s="2273"/>
      <c r="G59" s="2273"/>
      <c r="H59" s="2273"/>
      <c r="I59" s="2274"/>
      <c r="J59" s="2198" t="s">
        <v>2584</v>
      </c>
      <c r="K59" s="2198"/>
      <c r="L59" s="2198"/>
      <c r="M59" s="2198"/>
      <c r="N59" s="2198"/>
      <c r="O59" s="2198"/>
      <c r="P59" s="2198"/>
      <c r="Q59" s="2198"/>
      <c r="R59" s="2198"/>
      <c r="S59" s="2198"/>
      <c r="T59" s="2198"/>
      <c r="U59" s="2198"/>
      <c r="V59" s="2198"/>
      <c r="W59" s="2198"/>
      <c r="X59" s="2198"/>
      <c r="Y59" s="2198"/>
      <c r="Z59" s="2198"/>
      <c r="AA59" s="2198"/>
      <c r="AB59" s="2198"/>
      <c r="AC59" s="2198"/>
      <c r="AD59" s="2198"/>
      <c r="AE59" s="2198"/>
      <c r="AF59" s="2198"/>
      <c r="AG59" s="2198"/>
      <c r="AH59" s="2198"/>
      <c r="AI59" s="2198"/>
      <c r="AJ59" s="2198"/>
      <c r="AK59" s="2198"/>
      <c r="AL59" s="2198"/>
      <c r="AM59" s="2198"/>
      <c r="AN59" s="2198"/>
      <c r="AO59" s="2198"/>
      <c r="AP59" s="2198"/>
      <c r="AQ59" s="2198"/>
      <c r="AR59" s="2198"/>
      <c r="AS59" s="2198"/>
      <c r="AT59" s="2198"/>
      <c r="AU59" s="2198"/>
      <c r="AV59" s="2198"/>
      <c r="AW59" s="2199"/>
      <c r="AX59" s="1207"/>
      <c r="AY59" s="1207"/>
      <c r="AZ59" s="1207"/>
      <c r="BA59" s="1207"/>
      <c r="BB59" s="1207"/>
      <c r="BC59" s="1207"/>
      <c r="BD59" s="1207"/>
      <c r="BE59" s="1213"/>
    </row>
    <row r="60" spans="1:58" ht="15.75" customHeight="1">
      <c r="A60" s="1207"/>
      <c r="B60" s="2275" t="str">
        <f>IF(B52="", "", B52)</f>
        <v>Services Company 1</v>
      </c>
      <c r="C60" s="2276"/>
      <c r="D60" s="2276"/>
      <c r="E60" s="2276"/>
      <c r="F60" s="2276"/>
      <c r="G60" s="2276"/>
      <c r="H60" s="2276"/>
      <c r="I60" s="2277"/>
      <c r="J60" s="2278"/>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c r="AS60" s="2279"/>
      <c r="AT60" s="2279"/>
      <c r="AU60" s="2279"/>
      <c r="AV60" s="2279"/>
      <c r="AW60" s="2280"/>
      <c r="AX60" s="1207"/>
      <c r="AY60" s="1207"/>
      <c r="AZ60" s="1207"/>
      <c r="BA60" s="1207"/>
      <c r="BB60" s="1207"/>
      <c r="BC60" s="1207"/>
      <c r="BD60" s="1207"/>
      <c r="BE60" s="1213"/>
    </row>
    <row r="61" spans="1:58" ht="15.75" customHeight="1">
      <c r="A61" s="1207"/>
      <c r="B61" s="2275" t="str">
        <f>IF(B53="", "", B53)</f>
        <v>Services Company 2</v>
      </c>
      <c r="C61" s="2276"/>
      <c r="D61" s="2276"/>
      <c r="E61" s="2276"/>
      <c r="F61" s="2276"/>
      <c r="G61" s="2276"/>
      <c r="H61" s="2276"/>
      <c r="I61" s="2277"/>
      <c r="J61" s="2278"/>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80"/>
      <c r="AX61" s="1207"/>
      <c r="AY61" s="1207"/>
      <c r="AZ61" s="1207"/>
      <c r="BA61" s="1207"/>
      <c r="BB61" s="1207"/>
      <c r="BC61" s="1207"/>
      <c r="BD61" s="1207"/>
      <c r="BE61" s="1213"/>
    </row>
    <row r="62" spans="1:58" ht="15.75" customHeight="1">
      <c r="A62" s="1207"/>
      <c r="B62" s="2275" t="str">
        <f>IF(B54="", "", B54)</f>
        <v/>
      </c>
      <c r="C62" s="2276"/>
      <c r="D62" s="2276"/>
      <c r="E62" s="2276"/>
      <c r="F62" s="2276"/>
      <c r="G62" s="2276"/>
      <c r="H62" s="2276"/>
      <c r="I62" s="2277"/>
      <c r="J62" s="2278"/>
      <c r="K62" s="2279"/>
      <c r="L62" s="2279"/>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c r="AS62" s="2279"/>
      <c r="AT62" s="2279"/>
      <c r="AU62" s="2279"/>
      <c r="AV62" s="2279"/>
      <c r="AW62" s="2280"/>
      <c r="AX62" s="1207"/>
      <c r="AY62" s="1207"/>
      <c r="AZ62" s="1207"/>
      <c r="BA62" s="1207"/>
      <c r="BB62" s="1207"/>
      <c r="BC62" s="1207"/>
      <c r="BD62" s="1207"/>
      <c r="BE62" s="1213"/>
    </row>
    <row r="63" spans="1:58" ht="15.75" customHeight="1">
      <c r="A63" s="1207"/>
      <c r="B63" s="2275" t="str">
        <f>IF(B55="", "", B55)</f>
        <v/>
      </c>
      <c r="C63" s="2276"/>
      <c r="D63" s="2276"/>
      <c r="E63" s="2276"/>
      <c r="F63" s="2276"/>
      <c r="G63" s="2276"/>
      <c r="H63" s="2276"/>
      <c r="I63" s="2277"/>
      <c r="J63" s="2278"/>
      <c r="K63" s="2279"/>
      <c r="L63" s="2279"/>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c r="AS63" s="2279"/>
      <c r="AT63" s="2279"/>
      <c r="AU63" s="2279"/>
      <c r="AV63" s="2279"/>
      <c r="AW63" s="2280"/>
      <c r="AX63" s="1207"/>
      <c r="AY63" s="1207"/>
      <c r="AZ63" s="1207"/>
      <c r="BA63" s="1207"/>
      <c r="BB63" s="1207"/>
      <c r="BC63" s="1207"/>
      <c r="BD63" s="1207"/>
      <c r="BE63" s="1213"/>
    </row>
    <row r="64" spans="1:58" ht="15.75" customHeight="1" thickBot="1">
      <c r="A64" s="1207"/>
      <c r="B64" s="2300" t="str">
        <f>IF(B56="", "", B56)</f>
        <v/>
      </c>
      <c r="C64" s="2301"/>
      <c r="D64" s="2301"/>
      <c r="E64" s="2301"/>
      <c r="F64" s="2301"/>
      <c r="G64" s="2301"/>
      <c r="H64" s="2301"/>
      <c r="I64" s="2302"/>
      <c r="J64" s="2303"/>
      <c r="K64" s="2304"/>
      <c r="L64" s="2304"/>
      <c r="M64" s="2304"/>
      <c r="N64" s="2304"/>
      <c r="O64" s="2304"/>
      <c r="P64" s="2304"/>
      <c r="Q64" s="2304"/>
      <c r="R64" s="2304"/>
      <c r="S64" s="2304"/>
      <c r="T64" s="2304"/>
      <c r="U64" s="2304"/>
      <c r="V64" s="2304"/>
      <c r="W64" s="2304"/>
      <c r="X64" s="2304"/>
      <c r="Y64" s="2304"/>
      <c r="Z64" s="2304"/>
      <c r="AA64" s="2304"/>
      <c r="AB64" s="2304"/>
      <c r="AC64" s="2304"/>
      <c r="AD64" s="2304"/>
      <c r="AE64" s="2304"/>
      <c r="AF64" s="2304"/>
      <c r="AG64" s="2304"/>
      <c r="AH64" s="2304"/>
      <c r="AI64" s="2304"/>
      <c r="AJ64" s="2304"/>
      <c r="AK64" s="2304"/>
      <c r="AL64" s="2304"/>
      <c r="AM64" s="2304"/>
      <c r="AN64" s="2304"/>
      <c r="AO64" s="2304"/>
      <c r="AP64" s="2304"/>
      <c r="AQ64" s="2304"/>
      <c r="AR64" s="2304"/>
      <c r="AS64" s="2304"/>
      <c r="AT64" s="2304"/>
      <c r="AU64" s="2304"/>
      <c r="AV64" s="2304"/>
      <c r="AW64" s="2305"/>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7" t="s">
        <v>1889</v>
      </c>
      <c r="C68" s="2198"/>
      <c r="D68" s="2198"/>
      <c r="E68" s="2198"/>
      <c r="F68" s="2198"/>
      <c r="G68" s="2198"/>
      <c r="H68" s="2198"/>
      <c r="I68" s="2198"/>
      <c r="J68" s="2198"/>
      <c r="K68" s="2198"/>
      <c r="L68" s="2198"/>
      <c r="M68" s="2198"/>
      <c r="N68" s="2198"/>
      <c r="O68" s="2198"/>
      <c r="P68" s="2198"/>
      <c r="Q68" s="2198"/>
      <c r="R68" s="2198"/>
      <c r="S68" s="2198"/>
      <c r="T68" s="2198"/>
      <c r="U68" s="2198"/>
      <c r="V68" s="2198"/>
      <c r="W68" s="2198"/>
      <c r="X68" s="2198"/>
      <c r="Y68" s="2198"/>
      <c r="Z68" s="2198"/>
      <c r="AA68" s="2199"/>
      <c r="AB68" s="1207"/>
      <c r="AC68" s="2312" t="s">
        <v>1890</v>
      </c>
      <c r="AD68" s="2313"/>
      <c r="AE68" s="2313"/>
      <c r="AF68" s="2313"/>
      <c r="AG68" s="2313"/>
      <c r="AH68" s="2313"/>
      <c r="AI68" s="2313"/>
      <c r="AJ68" s="2313"/>
      <c r="AK68" s="2313"/>
      <c r="AL68" s="2313"/>
      <c r="AM68" s="2313"/>
      <c r="AN68" s="2313"/>
      <c r="AO68" s="2313"/>
      <c r="AP68" s="2313"/>
      <c r="AQ68" s="2313"/>
      <c r="AR68" s="2313"/>
      <c r="AS68" s="2313"/>
      <c r="AT68" s="2313"/>
      <c r="AU68" s="2313"/>
      <c r="AV68" s="2287" t="s">
        <v>679</v>
      </c>
      <c r="AW68" s="2288"/>
      <c r="AX68" s="2288"/>
      <c r="AY68" s="2288"/>
      <c r="AZ68" s="2288"/>
      <c r="BA68" s="2288"/>
      <c r="BB68" s="2288"/>
      <c r="BC68" s="2289"/>
      <c r="BD68" s="1207"/>
      <c r="BE68" s="1213"/>
      <c r="BM68" s="1218" t="s">
        <v>2585</v>
      </c>
    </row>
    <row r="69" spans="1:65" ht="15.75" customHeight="1" thickTop="1" thickBot="1">
      <c r="A69" s="1207"/>
      <c r="B69" s="2290" t="s">
        <v>1891</v>
      </c>
      <c r="C69" s="2291"/>
      <c r="D69" s="2291"/>
      <c r="E69" s="2291"/>
      <c r="F69" s="2291"/>
      <c r="G69" s="2291"/>
      <c r="H69" s="2291"/>
      <c r="I69" s="2291"/>
      <c r="J69" s="2291"/>
      <c r="K69" s="2291"/>
      <c r="L69" s="2291"/>
      <c r="M69" s="2291"/>
      <c r="N69" s="2291"/>
      <c r="O69" s="2292" t="s">
        <v>1892</v>
      </c>
      <c r="P69" s="2293"/>
      <c r="Q69" s="2293"/>
      <c r="R69" s="2293"/>
      <c r="S69" s="2293"/>
      <c r="T69" s="2293"/>
      <c r="U69" s="2293"/>
      <c r="V69" s="2293"/>
      <c r="W69" s="2293"/>
      <c r="X69" s="2293"/>
      <c r="Y69" s="2293"/>
      <c r="Z69" s="2293"/>
      <c r="AA69" s="2294"/>
      <c r="AB69" s="1207"/>
      <c r="AC69" s="2295" t="s">
        <v>1893</v>
      </c>
      <c r="AD69" s="2296"/>
      <c r="AE69" s="2296"/>
      <c r="AF69" s="2296"/>
      <c r="AG69" s="2296"/>
      <c r="AH69" s="2296"/>
      <c r="AI69" s="2296"/>
      <c r="AJ69" s="2296"/>
      <c r="AK69" s="2296"/>
      <c r="AL69" s="2296"/>
      <c r="AM69" s="2296"/>
      <c r="AN69" s="2296"/>
      <c r="AO69" s="2296"/>
      <c r="AP69" s="2296"/>
      <c r="AQ69" s="2296"/>
      <c r="AR69" s="2296"/>
      <c r="AS69" s="2296"/>
      <c r="AT69" s="2296"/>
      <c r="AU69" s="2296"/>
      <c r="AV69" s="2297"/>
      <c r="AW69" s="2298"/>
      <c r="AX69" s="2298"/>
      <c r="AY69" s="2298"/>
      <c r="AZ69" s="2298"/>
      <c r="BA69" s="2298"/>
      <c r="BB69" s="2298"/>
      <c r="BC69" s="2299"/>
      <c r="BD69" s="1207"/>
      <c r="BE69" s="1213"/>
      <c r="BM69" s="1219" t="s">
        <v>555</v>
      </c>
    </row>
    <row r="70" spans="1:65" ht="15.75" customHeight="1">
      <c r="A70" s="1207"/>
      <c r="B70" s="2248" t="s">
        <v>2586</v>
      </c>
      <c r="C70" s="2249"/>
      <c r="D70" s="2249"/>
      <c r="E70" s="2249"/>
      <c r="F70" s="2249"/>
      <c r="G70" s="2249"/>
      <c r="H70" s="2249"/>
      <c r="I70" s="2249"/>
      <c r="J70" s="2249"/>
      <c r="K70" s="2249"/>
      <c r="L70" s="2249"/>
      <c r="M70" s="2249"/>
      <c r="N70" s="2249"/>
      <c r="O70" s="2306">
        <v>0</v>
      </c>
      <c r="P70" s="2306"/>
      <c r="Q70" s="2306"/>
      <c r="R70" s="2306"/>
      <c r="S70" s="2306"/>
      <c r="T70" s="2306"/>
      <c r="U70" s="2306"/>
      <c r="V70" s="2306"/>
      <c r="W70" s="2306"/>
      <c r="X70" s="2306"/>
      <c r="Y70" s="2306"/>
      <c r="Z70" s="2306"/>
      <c r="AA70" s="2307"/>
      <c r="AB70" s="1207"/>
      <c r="AC70" s="2235" t="s">
        <v>1894</v>
      </c>
      <c r="AD70" s="2236"/>
      <c r="AE70" s="2236"/>
      <c r="AF70" s="2308"/>
      <c r="AG70" s="2308"/>
      <c r="AH70" s="2308"/>
      <c r="AI70" s="2308"/>
      <c r="AJ70" s="2308"/>
      <c r="AK70" s="2308"/>
      <c r="AL70" s="2308"/>
      <c r="AM70" s="2308"/>
      <c r="AN70" s="2308"/>
      <c r="AO70" s="2308"/>
      <c r="AP70" s="2308"/>
      <c r="AQ70" s="2308"/>
      <c r="AR70" s="2308"/>
      <c r="AS70" s="2308"/>
      <c r="AT70" s="2308"/>
      <c r="AU70" s="2309"/>
      <c r="AV70" s="1207"/>
      <c r="AW70" s="1207"/>
      <c r="AX70" s="1207"/>
      <c r="AY70" s="1207"/>
      <c r="AZ70" s="1207"/>
      <c r="BA70" s="1207"/>
      <c r="BB70" s="1207"/>
      <c r="BC70" s="1207"/>
      <c r="BD70" s="1207"/>
      <c r="BE70" s="1213"/>
      <c r="BM70" s="1220" t="s">
        <v>679</v>
      </c>
    </row>
    <row r="71" spans="1:65" ht="15.75" customHeight="1" thickBot="1">
      <c r="A71" s="1207"/>
      <c r="B71" s="2248" t="s">
        <v>2587</v>
      </c>
      <c r="C71" s="2249"/>
      <c r="D71" s="2249"/>
      <c r="E71" s="2249"/>
      <c r="F71" s="2249"/>
      <c r="G71" s="2249"/>
      <c r="H71" s="2249"/>
      <c r="I71" s="2249"/>
      <c r="J71" s="2249"/>
      <c r="K71" s="2249"/>
      <c r="L71" s="2249"/>
      <c r="M71" s="2249"/>
      <c r="N71" s="2249"/>
      <c r="O71" s="2306">
        <v>0</v>
      </c>
      <c r="P71" s="2306"/>
      <c r="Q71" s="2306"/>
      <c r="R71" s="2306"/>
      <c r="S71" s="2306"/>
      <c r="T71" s="2306"/>
      <c r="U71" s="2306"/>
      <c r="V71" s="2306"/>
      <c r="W71" s="2306"/>
      <c r="X71" s="2306"/>
      <c r="Y71" s="2306"/>
      <c r="Z71" s="2306"/>
      <c r="AA71" s="2307"/>
      <c r="AB71" s="1207"/>
      <c r="AC71" s="2310" t="s">
        <v>1895</v>
      </c>
      <c r="AD71" s="2311"/>
      <c r="AE71" s="2311"/>
      <c r="AF71" s="2304"/>
      <c r="AG71" s="2304"/>
      <c r="AH71" s="2304"/>
      <c r="AI71" s="2304"/>
      <c r="AJ71" s="2304"/>
      <c r="AK71" s="2304"/>
      <c r="AL71" s="2304"/>
      <c r="AM71" s="2304"/>
      <c r="AN71" s="2304"/>
      <c r="AO71" s="2304"/>
      <c r="AP71" s="2304"/>
      <c r="AQ71" s="2304"/>
      <c r="AR71" s="2304"/>
      <c r="AS71" s="2304"/>
      <c r="AT71" s="2304"/>
      <c r="AU71" s="2305"/>
      <c r="AV71" s="1207"/>
      <c r="AW71" s="1207"/>
      <c r="AX71" s="1207"/>
      <c r="AY71" s="1207"/>
      <c r="AZ71" s="1207"/>
      <c r="BA71" s="1207"/>
      <c r="BB71" s="1207"/>
      <c r="BC71" s="1207"/>
      <c r="BD71" s="1207"/>
      <c r="BE71" s="1213"/>
      <c r="BM71" s="1204" t="s">
        <v>2588</v>
      </c>
    </row>
    <row r="72" spans="1:65" ht="15.75" customHeight="1">
      <c r="A72" s="1207"/>
      <c r="B72" s="2248" t="s">
        <v>2589</v>
      </c>
      <c r="C72" s="2249"/>
      <c r="D72" s="2249"/>
      <c r="E72" s="2249"/>
      <c r="F72" s="2249"/>
      <c r="G72" s="2249"/>
      <c r="H72" s="2249"/>
      <c r="I72" s="2249"/>
      <c r="J72" s="2249"/>
      <c r="K72" s="2249"/>
      <c r="L72" s="2249"/>
      <c r="M72" s="2249"/>
      <c r="N72" s="2249"/>
      <c r="O72" s="2306">
        <v>0</v>
      </c>
      <c r="P72" s="2306"/>
      <c r="Q72" s="2306"/>
      <c r="R72" s="2306"/>
      <c r="S72" s="2306"/>
      <c r="T72" s="2306"/>
      <c r="U72" s="2306"/>
      <c r="V72" s="2306"/>
      <c r="W72" s="2306"/>
      <c r="X72" s="2306"/>
      <c r="Y72" s="2306"/>
      <c r="Z72" s="2306"/>
      <c r="AA72" s="2307"/>
      <c r="AB72" s="1207"/>
      <c r="AC72" s="2314" t="s">
        <v>2590</v>
      </c>
      <c r="AD72" s="2315"/>
      <c r="AE72" s="2315"/>
      <c r="AF72" s="2315"/>
      <c r="AG72" s="2315"/>
      <c r="AH72" s="2315"/>
      <c r="AI72" s="2315"/>
      <c r="AJ72" s="2315"/>
      <c r="AK72" s="2315"/>
      <c r="AL72" s="2315"/>
      <c r="AM72" s="2315"/>
      <c r="AN72" s="2315"/>
      <c r="AO72" s="2315"/>
      <c r="AP72" s="2315"/>
      <c r="AQ72" s="2315"/>
      <c r="AR72" s="2315"/>
      <c r="AS72" s="2315"/>
      <c r="AT72" s="2315"/>
      <c r="AU72" s="2315"/>
      <c r="AV72" s="2236"/>
      <c r="AW72" s="2236"/>
      <c r="AX72" s="2236"/>
      <c r="AY72" s="2236"/>
      <c r="AZ72" s="2236"/>
      <c r="BA72" s="2236"/>
      <c r="BB72" s="2236"/>
      <c r="BC72" s="2237"/>
      <c r="BD72" s="1207"/>
      <c r="BE72" s="1213"/>
    </row>
    <row r="73" spans="1:65" ht="15.75" customHeight="1">
      <c r="A73" s="1207"/>
      <c r="B73" s="2255" t="s">
        <v>2591</v>
      </c>
      <c r="C73" s="2256"/>
      <c r="D73" s="2256"/>
      <c r="E73" s="2256"/>
      <c r="F73" s="2256"/>
      <c r="G73" s="2256"/>
      <c r="H73" s="2256"/>
      <c r="I73" s="2256"/>
      <c r="J73" s="2256"/>
      <c r="K73" s="2256"/>
      <c r="L73" s="2256"/>
      <c r="M73" s="2256"/>
      <c r="N73" s="2256"/>
      <c r="O73" s="2306">
        <v>0</v>
      </c>
      <c r="P73" s="2306"/>
      <c r="Q73" s="2306"/>
      <c r="R73" s="2306"/>
      <c r="S73" s="2306"/>
      <c r="T73" s="2306"/>
      <c r="U73" s="2306"/>
      <c r="V73" s="2306"/>
      <c r="W73" s="2306"/>
      <c r="X73" s="2306"/>
      <c r="Y73" s="2306"/>
      <c r="Z73" s="2306"/>
      <c r="AA73" s="2307"/>
      <c r="AB73" s="1207"/>
      <c r="AC73" s="2316" t="s">
        <v>2262</v>
      </c>
      <c r="AD73" s="2317"/>
      <c r="AE73" s="2317"/>
      <c r="AF73" s="2317"/>
      <c r="AG73" s="2317"/>
      <c r="AH73" s="2317"/>
      <c r="AI73" s="2317"/>
      <c r="AJ73" s="2317"/>
      <c r="AK73" s="2317"/>
      <c r="AL73" s="2317"/>
      <c r="AM73" s="2317"/>
      <c r="AN73" s="2317"/>
      <c r="AO73" s="2317"/>
      <c r="AP73" s="2317"/>
      <c r="AQ73" s="2317"/>
      <c r="AR73" s="2317"/>
      <c r="AS73" s="2317"/>
      <c r="AT73" s="2317"/>
      <c r="AU73" s="2317"/>
      <c r="AV73" s="2317"/>
      <c r="AW73" s="2317"/>
      <c r="AX73" s="2317"/>
      <c r="AY73" s="2317"/>
      <c r="AZ73" s="2317"/>
      <c r="BA73" s="2317"/>
      <c r="BB73" s="2317"/>
      <c r="BC73" s="2318"/>
      <c r="BD73" s="1207"/>
      <c r="BE73" s="1213"/>
    </row>
    <row r="74" spans="1:65" ht="15.75" customHeight="1">
      <c r="A74" s="1207"/>
      <c r="B74" s="2322"/>
      <c r="C74" s="2267"/>
      <c r="D74" s="2267"/>
      <c r="E74" s="2267"/>
      <c r="F74" s="2267"/>
      <c r="G74" s="2267"/>
      <c r="H74" s="2267"/>
      <c r="I74" s="2267"/>
      <c r="J74" s="2267"/>
      <c r="K74" s="2267"/>
      <c r="L74" s="2267"/>
      <c r="M74" s="2267"/>
      <c r="N74" s="2267"/>
      <c r="O74" s="2306"/>
      <c r="P74" s="2306"/>
      <c r="Q74" s="2306"/>
      <c r="R74" s="2306"/>
      <c r="S74" s="2306"/>
      <c r="T74" s="2306"/>
      <c r="U74" s="2306"/>
      <c r="V74" s="2306"/>
      <c r="W74" s="2306"/>
      <c r="X74" s="2306"/>
      <c r="Y74" s="2306"/>
      <c r="Z74" s="2306"/>
      <c r="AA74" s="2307"/>
      <c r="AB74" s="1207"/>
      <c r="AC74" s="2316"/>
      <c r="AD74" s="2317"/>
      <c r="AE74" s="2317"/>
      <c r="AF74" s="2317"/>
      <c r="AG74" s="2317"/>
      <c r="AH74" s="2317"/>
      <c r="AI74" s="2317"/>
      <c r="AJ74" s="2317"/>
      <c r="AK74" s="2317"/>
      <c r="AL74" s="2317"/>
      <c r="AM74" s="2317"/>
      <c r="AN74" s="2317"/>
      <c r="AO74" s="2317"/>
      <c r="AP74" s="2317"/>
      <c r="AQ74" s="2317"/>
      <c r="AR74" s="2317"/>
      <c r="AS74" s="2317"/>
      <c r="AT74" s="2317"/>
      <c r="AU74" s="2317"/>
      <c r="AV74" s="2317"/>
      <c r="AW74" s="2317"/>
      <c r="AX74" s="2317"/>
      <c r="AY74" s="2317"/>
      <c r="AZ74" s="2317"/>
      <c r="BA74" s="2317"/>
      <c r="BB74" s="2317"/>
      <c r="BC74" s="2318"/>
      <c r="BD74" s="1207"/>
      <c r="BE74" s="1213"/>
    </row>
    <row r="75" spans="1:65" ht="15.75" customHeight="1" thickBot="1">
      <c r="A75" s="1207"/>
      <c r="B75" s="2323" t="s">
        <v>125</v>
      </c>
      <c r="C75" s="2324"/>
      <c r="D75" s="2324"/>
      <c r="E75" s="2324"/>
      <c r="F75" s="2324"/>
      <c r="G75" s="2324"/>
      <c r="H75" s="2324"/>
      <c r="I75" s="2324"/>
      <c r="J75" s="2324"/>
      <c r="K75" s="2324"/>
      <c r="L75" s="2324"/>
      <c r="M75" s="2324"/>
      <c r="N75" s="2324"/>
      <c r="O75" s="2325">
        <f>SUM(O70:AA74)</f>
        <v>0</v>
      </c>
      <c r="P75" s="2325"/>
      <c r="Q75" s="2325"/>
      <c r="R75" s="2325"/>
      <c r="S75" s="2325"/>
      <c r="T75" s="2325"/>
      <c r="U75" s="2325"/>
      <c r="V75" s="2325"/>
      <c r="W75" s="2325"/>
      <c r="X75" s="2325"/>
      <c r="Y75" s="2325"/>
      <c r="Z75" s="2325"/>
      <c r="AA75" s="2326"/>
      <c r="AB75" s="1207"/>
      <c r="AC75" s="2316"/>
      <c r="AD75" s="2317"/>
      <c r="AE75" s="2317"/>
      <c r="AF75" s="2317"/>
      <c r="AG75" s="2317"/>
      <c r="AH75" s="2317"/>
      <c r="AI75" s="2317"/>
      <c r="AJ75" s="2317"/>
      <c r="AK75" s="2317"/>
      <c r="AL75" s="2317"/>
      <c r="AM75" s="2317"/>
      <c r="AN75" s="2317"/>
      <c r="AO75" s="2317"/>
      <c r="AP75" s="2317"/>
      <c r="AQ75" s="2317"/>
      <c r="AR75" s="2317"/>
      <c r="AS75" s="2317"/>
      <c r="AT75" s="2317"/>
      <c r="AU75" s="2317"/>
      <c r="AV75" s="2317"/>
      <c r="AW75" s="2317"/>
      <c r="AX75" s="2317"/>
      <c r="AY75" s="2317"/>
      <c r="AZ75" s="2317"/>
      <c r="BA75" s="2317"/>
      <c r="BB75" s="2317"/>
      <c r="BC75" s="231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6"/>
      <c r="AD76" s="2317"/>
      <c r="AE76" s="2317"/>
      <c r="AF76" s="2317"/>
      <c r="AG76" s="2317"/>
      <c r="AH76" s="2317"/>
      <c r="AI76" s="2317"/>
      <c r="AJ76" s="2317"/>
      <c r="AK76" s="2317"/>
      <c r="AL76" s="2317"/>
      <c r="AM76" s="2317"/>
      <c r="AN76" s="2317"/>
      <c r="AO76" s="2317"/>
      <c r="AP76" s="2317"/>
      <c r="AQ76" s="2317"/>
      <c r="AR76" s="2317"/>
      <c r="AS76" s="2317"/>
      <c r="AT76" s="2317"/>
      <c r="AU76" s="2317"/>
      <c r="AV76" s="2317"/>
      <c r="AW76" s="2317"/>
      <c r="AX76" s="2317"/>
      <c r="AY76" s="2317"/>
      <c r="AZ76" s="2317"/>
      <c r="BA76" s="2317"/>
      <c r="BB76" s="2317"/>
      <c r="BC76" s="2318"/>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9"/>
      <c r="AD77" s="2320"/>
      <c r="AE77" s="2320"/>
      <c r="AF77" s="2320"/>
      <c r="AG77" s="2320"/>
      <c r="AH77" s="2320"/>
      <c r="AI77" s="2320"/>
      <c r="AJ77" s="2320"/>
      <c r="AK77" s="2320"/>
      <c r="AL77" s="2320"/>
      <c r="AM77" s="2320"/>
      <c r="AN77" s="2320"/>
      <c r="AO77" s="2320"/>
      <c r="AP77" s="2320"/>
      <c r="AQ77" s="2320"/>
      <c r="AR77" s="2320"/>
      <c r="AS77" s="2320"/>
      <c r="AT77" s="2320"/>
      <c r="AU77" s="2320"/>
      <c r="AV77" s="2320"/>
      <c r="AW77" s="2320"/>
      <c r="AX77" s="2320"/>
      <c r="AY77" s="2320"/>
      <c r="AZ77" s="2320"/>
      <c r="BA77" s="2320"/>
      <c r="BB77" s="2320"/>
      <c r="BC77" s="232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7" t="s">
        <v>2245</v>
      </c>
      <c r="C79" s="2328"/>
      <c r="D79" s="2328"/>
      <c r="E79" s="2328"/>
      <c r="F79" s="2328"/>
      <c r="G79" s="2328"/>
      <c r="H79" s="2328"/>
      <c r="I79" s="2328"/>
      <c r="J79" s="2328"/>
      <c r="K79" s="2328"/>
      <c r="L79" s="2328"/>
      <c r="M79" s="2328"/>
      <c r="N79" s="2328"/>
      <c r="O79" s="2328"/>
      <c r="P79" s="2328"/>
      <c r="Q79" s="2328"/>
      <c r="R79" s="2328"/>
      <c r="S79" s="2328"/>
      <c r="T79" s="2328"/>
      <c r="U79" s="2328"/>
      <c r="V79" s="2328"/>
      <c r="W79" s="2328"/>
      <c r="X79" s="2328"/>
      <c r="Y79" s="2328"/>
      <c r="Z79" s="2328"/>
      <c r="AA79" s="2328"/>
      <c r="AB79" s="2328"/>
      <c r="AC79" s="2328"/>
      <c r="AD79" s="2328"/>
      <c r="AE79" s="2328"/>
      <c r="AF79" s="2328"/>
      <c r="AG79" s="2328"/>
      <c r="AH79" s="2329"/>
      <c r="AI79" s="1207"/>
      <c r="AJ79" s="2330" t="s">
        <v>2592</v>
      </c>
      <c r="AK79" s="2331"/>
      <c r="AL79" s="2331"/>
      <c r="AM79" s="2331"/>
      <c r="AN79" s="2331"/>
      <c r="AO79" s="2331"/>
      <c r="AP79" s="2331"/>
      <c r="AQ79" s="2331"/>
      <c r="AR79" s="2331"/>
      <c r="AS79" s="2331"/>
      <c r="AT79" s="2331"/>
      <c r="AU79" s="2331"/>
      <c r="AV79" s="2331"/>
      <c r="AW79" s="2331"/>
      <c r="AX79" s="2331"/>
      <c r="AY79" s="2334" t="s">
        <v>555</v>
      </c>
      <c r="AZ79" s="2334"/>
      <c r="BA79" s="2334"/>
      <c r="BB79" s="2335"/>
      <c r="BC79" s="1207"/>
      <c r="BD79" s="1207"/>
      <c r="BE79" s="1213"/>
    </row>
    <row r="80" spans="1:65" ht="15.75" customHeight="1">
      <c r="A80" s="1207"/>
      <c r="B80" s="2263"/>
      <c r="C80" s="2264"/>
      <c r="D80" s="2264"/>
      <c r="E80" s="2264"/>
      <c r="F80" s="2264"/>
      <c r="G80" s="2264"/>
      <c r="H80" s="2264"/>
      <c r="I80" s="2264" t="s">
        <v>1897</v>
      </c>
      <c r="J80" s="2264"/>
      <c r="K80" s="2264"/>
      <c r="L80" s="2264"/>
      <c r="M80" s="2264"/>
      <c r="N80" s="2264"/>
      <c r="O80" s="2264" t="s">
        <v>1898</v>
      </c>
      <c r="P80" s="2264"/>
      <c r="Q80" s="2264"/>
      <c r="R80" s="2264"/>
      <c r="S80" s="2264"/>
      <c r="T80" s="2264"/>
      <c r="U80" s="2264"/>
      <c r="V80" s="2338" t="s">
        <v>2263</v>
      </c>
      <c r="W80" s="2338"/>
      <c r="X80" s="2338"/>
      <c r="Y80" s="2338"/>
      <c r="Z80" s="2338"/>
      <c r="AA80" s="2338"/>
      <c r="AB80" s="2243" t="s">
        <v>1899</v>
      </c>
      <c r="AC80" s="2243"/>
      <c r="AD80" s="2243"/>
      <c r="AE80" s="2243"/>
      <c r="AF80" s="2243"/>
      <c r="AG80" s="2243"/>
      <c r="AH80" s="2244"/>
      <c r="AI80" s="1207"/>
      <c r="AJ80" s="2332"/>
      <c r="AK80" s="2333"/>
      <c r="AL80" s="2333"/>
      <c r="AM80" s="2333"/>
      <c r="AN80" s="2333"/>
      <c r="AO80" s="2333"/>
      <c r="AP80" s="2333"/>
      <c r="AQ80" s="2333"/>
      <c r="AR80" s="2333"/>
      <c r="AS80" s="2333"/>
      <c r="AT80" s="2333"/>
      <c r="AU80" s="2333"/>
      <c r="AV80" s="2333"/>
      <c r="AW80" s="2333"/>
      <c r="AX80" s="2333"/>
      <c r="AY80" s="2336"/>
      <c r="AZ80" s="2336"/>
      <c r="BA80" s="2336"/>
      <c r="BB80" s="2337"/>
      <c r="BC80" s="1207"/>
      <c r="BD80" s="1207"/>
      <c r="BE80" s="1213"/>
    </row>
    <row r="81" spans="1:57" ht="15.75" customHeight="1">
      <c r="A81" s="1207"/>
      <c r="B81" s="2263"/>
      <c r="C81" s="2264"/>
      <c r="D81" s="2264"/>
      <c r="E81" s="2264"/>
      <c r="F81" s="2264"/>
      <c r="G81" s="2264"/>
      <c r="H81" s="2264"/>
      <c r="I81" s="2264"/>
      <c r="J81" s="2264"/>
      <c r="K81" s="2264"/>
      <c r="L81" s="2264"/>
      <c r="M81" s="2264"/>
      <c r="N81" s="2264"/>
      <c r="O81" s="2264"/>
      <c r="P81" s="2264"/>
      <c r="Q81" s="2264"/>
      <c r="R81" s="2264"/>
      <c r="S81" s="2264"/>
      <c r="T81" s="2264"/>
      <c r="U81" s="2264"/>
      <c r="V81" s="2338"/>
      <c r="W81" s="2338"/>
      <c r="X81" s="2338"/>
      <c r="Y81" s="2338"/>
      <c r="Z81" s="2338"/>
      <c r="AA81" s="2338"/>
      <c r="AB81" s="2243"/>
      <c r="AC81" s="2243"/>
      <c r="AD81" s="2243"/>
      <c r="AE81" s="2243"/>
      <c r="AF81" s="2243"/>
      <c r="AG81" s="2243"/>
      <c r="AH81" s="2244"/>
      <c r="AI81" s="1207"/>
      <c r="AJ81" s="2332"/>
      <c r="AK81" s="2333"/>
      <c r="AL81" s="2333"/>
      <c r="AM81" s="2333"/>
      <c r="AN81" s="2333"/>
      <c r="AO81" s="2333"/>
      <c r="AP81" s="2333"/>
      <c r="AQ81" s="2333"/>
      <c r="AR81" s="2333"/>
      <c r="AS81" s="2333"/>
      <c r="AT81" s="2333"/>
      <c r="AU81" s="2333"/>
      <c r="AV81" s="2333"/>
      <c r="AW81" s="2333"/>
      <c r="AX81" s="2333"/>
      <c r="AY81" s="2336"/>
      <c r="AZ81" s="2336"/>
      <c r="BA81" s="2336"/>
      <c r="BB81" s="2337"/>
      <c r="BC81" s="1207"/>
      <c r="BD81" s="1207"/>
      <c r="BE81" s="1213"/>
    </row>
    <row r="82" spans="1:57" ht="15.75" customHeight="1">
      <c r="A82" s="1207"/>
      <c r="B82" s="2263" t="s">
        <v>2246</v>
      </c>
      <c r="C82" s="2264"/>
      <c r="D82" s="2264"/>
      <c r="E82" s="2264"/>
      <c r="F82" s="2264"/>
      <c r="G82" s="2264"/>
      <c r="H82" s="2264"/>
      <c r="I82" s="2339">
        <v>0</v>
      </c>
      <c r="J82" s="2339"/>
      <c r="K82" s="2339"/>
      <c r="L82" s="2339"/>
      <c r="M82" s="2339"/>
      <c r="N82" s="2339"/>
      <c r="O82" s="2339">
        <v>0</v>
      </c>
      <c r="P82" s="2339"/>
      <c r="Q82" s="2339"/>
      <c r="R82" s="2339"/>
      <c r="S82" s="2339"/>
      <c r="T82" s="2339"/>
      <c r="U82" s="2339"/>
      <c r="V82" s="2339">
        <v>0</v>
      </c>
      <c r="W82" s="2339"/>
      <c r="X82" s="2339"/>
      <c r="Y82" s="2339"/>
      <c r="Z82" s="2339"/>
      <c r="AA82" s="2339"/>
      <c r="AB82" s="2339">
        <v>0</v>
      </c>
      <c r="AC82" s="2339"/>
      <c r="AD82" s="2339"/>
      <c r="AE82" s="2339"/>
      <c r="AF82" s="2339"/>
      <c r="AG82" s="2339"/>
      <c r="AH82" s="2348"/>
      <c r="AI82" s="1207"/>
      <c r="AJ82" s="2332"/>
      <c r="AK82" s="2333"/>
      <c r="AL82" s="2333"/>
      <c r="AM82" s="2333"/>
      <c r="AN82" s="2333"/>
      <c r="AO82" s="2333"/>
      <c r="AP82" s="2333"/>
      <c r="AQ82" s="2333"/>
      <c r="AR82" s="2333"/>
      <c r="AS82" s="2333"/>
      <c r="AT82" s="2333"/>
      <c r="AU82" s="2333"/>
      <c r="AV82" s="2333"/>
      <c r="AW82" s="2333"/>
      <c r="AX82" s="2333"/>
      <c r="AY82" s="2336"/>
      <c r="AZ82" s="2336"/>
      <c r="BA82" s="2336"/>
      <c r="BB82" s="2337"/>
      <c r="BC82" s="1207"/>
      <c r="BD82" s="1207"/>
      <c r="BE82" s="1213"/>
    </row>
    <row r="83" spans="1:57" ht="15.75" customHeight="1">
      <c r="A83" s="1207"/>
      <c r="B83" s="2263" t="s">
        <v>2247</v>
      </c>
      <c r="C83" s="2264"/>
      <c r="D83" s="2264"/>
      <c r="E83" s="2264"/>
      <c r="F83" s="2264"/>
      <c r="G83" s="2264"/>
      <c r="H83" s="2264"/>
      <c r="I83" s="2339">
        <v>0</v>
      </c>
      <c r="J83" s="2339"/>
      <c r="K83" s="2339"/>
      <c r="L83" s="2339"/>
      <c r="M83" s="2339"/>
      <c r="N83" s="2339"/>
      <c r="O83" s="2339">
        <v>0</v>
      </c>
      <c r="P83" s="2339"/>
      <c r="Q83" s="2339"/>
      <c r="R83" s="2339"/>
      <c r="S83" s="2339"/>
      <c r="T83" s="2339"/>
      <c r="U83" s="2339"/>
      <c r="V83" s="2339">
        <v>0</v>
      </c>
      <c r="W83" s="2339"/>
      <c r="X83" s="2339"/>
      <c r="Y83" s="2339"/>
      <c r="Z83" s="2339"/>
      <c r="AA83" s="2339"/>
      <c r="AB83" s="2339">
        <v>0</v>
      </c>
      <c r="AC83" s="2339"/>
      <c r="AD83" s="2339"/>
      <c r="AE83" s="2339"/>
      <c r="AF83" s="2339"/>
      <c r="AG83" s="2339"/>
      <c r="AH83" s="2348"/>
      <c r="AI83" s="1207"/>
      <c r="AJ83" s="2340" t="s">
        <v>2593</v>
      </c>
      <c r="AK83" s="2341"/>
      <c r="AL83" s="2341"/>
      <c r="AM83" s="2341"/>
      <c r="AN83" s="2341"/>
      <c r="AO83" s="2341"/>
      <c r="AP83" s="2341"/>
      <c r="AQ83" s="2341"/>
      <c r="AR83" s="2341"/>
      <c r="AS83" s="2341"/>
      <c r="AT83" s="2341"/>
      <c r="AU83" s="2341"/>
      <c r="AV83" s="2341"/>
      <c r="AW83" s="2341"/>
      <c r="AX83" s="2341"/>
      <c r="AY83" s="2341"/>
      <c r="AZ83" s="2341"/>
      <c r="BA83" s="2341"/>
      <c r="BB83" s="2342"/>
      <c r="BC83" s="1207"/>
      <c r="BD83" s="1207"/>
      <c r="BE83" s="1213"/>
    </row>
    <row r="84" spans="1:57" ht="15.75" customHeight="1" thickBot="1">
      <c r="A84" s="1207"/>
      <c r="B84" s="2281" t="s">
        <v>1900</v>
      </c>
      <c r="C84" s="2282"/>
      <c r="D84" s="2282"/>
      <c r="E84" s="2282"/>
      <c r="F84" s="2282"/>
      <c r="G84" s="2282"/>
      <c r="H84" s="2282"/>
      <c r="I84" s="2346">
        <v>0</v>
      </c>
      <c r="J84" s="2346"/>
      <c r="K84" s="2346"/>
      <c r="L84" s="2346"/>
      <c r="M84" s="2346"/>
      <c r="N84" s="2346"/>
      <c r="O84" s="2346">
        <v>0</v>
      </c>
      <c r="P84" s="2346"/>
      <c r="Q84" s="2346"/>
      <c r="R84" s="2346"/>
      <c r="S84" s="2346"/>
      <c r="T84" s="2346"/>
      <c r="U84" s="2346"/>
      <c r="V84" s="2346">
        <v>0</v>
      </c>
      <c r="W84" s="2346"/>
      <c r="X84" s="2346"/>
      <c r="Y84" s="2346"/>
      <c r="Z84" s="2346"/>
      <c r="AA84" s="2346"/>
      <c r="AB84" s="2346">
        <v>0</v>
      </c>
      <c r="AC84" s="2346"/>
      <c r="AD84" s="2346"/>
      <c r="AE84" s="2346"/>
      <c r="AF84" s="2346"/>
      <c r="AG84" s="2346"/>
      <c r="AH84" s="2347"/>
      <c r="AI84" s="1207"/>
      <c r="AJ84" s="2343"/>
      <c r="AK84" s="2344"/>
      <c r="AL84" s="2344"/>
      <c r="AM84" s="2344"/>
      <c r="AN84" s="2344"/>
      <c r="AO84" s="2344"/>
      <c r="AP84" s="2344"/>
      <c r="AQ84" s="2344"/>
      <c r="AR84" s="2344"/>
      <c r="AS84" s="2344"/>
      <c r="AT84" s="2344"/>
      <c r="AU84" s="2344"/>
      <c r="AV84" s="2344"/>
      <c r="AW84" s="2344"/>
      <c r="AX84" s="2344"/>
      <c r="AY84" s="2344"/>
      <c r="AZ84" s="2344"/>
      <c r="BA84" s="2344"/>
      <c r="BB84" s="234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12" t="s">
        <v>1902</v>
      </c>
      <c r="C88" s="2313"/>
      <c r="D88" s="2313"/>
      <c r="E88" s="2313"/>
      <c r="F88" s="2313"/>
      <c r="G88" s="2313"/>
      <c r="H88" s="2313"/>
      <c r="I88" s="2313"/>
      <c r="J88" s="2313"/>
      <c r="K88" s="2313"/>
      <c r="L88" s="2313"/>
      <c r="M88" s="2313"/>
      <c r="N88" s="2313"/>
      <c r="O88" s="2313"/>
      <c r="P88" s="2313"/>
      <c r="Q88" s="2313"/>
      <c r="R88" s="2313"/>
      <c r="S88" s="2313"/>
      <c r="T88" s="2313"/>
      <c r="U88" s="2313"/>
      <c r="V88" s="2313"/>
      <c r="W88" s="2313"/>
      <c r="X88" s="2313"/>
      <c r="Y88" s="2313"/>
      <c r="Z88" s="2313"/>
      <c r="AA88" s="2313"/>
      <c r="AB88" s="2313"/>
      <c r="AC88" s="2313"/>
      <c r="AD88" s="2313"/>
      <c r="AE88" s="2313"/>
      <c r="AF88" s="2313"/>
      <c r="AG88" s="2313"/>
      <c r="AH88" s="2349"/>
      <c r="AI88" s="1207"/>
      <c r="AJ88" s="2330" t="s">
        <v>2594</v>
      </c>
      <c r="AK88" s="2331"/>
      <c r="AL88" s="2331"/>
      <c r="AM88" s="2331"/>
      <c r="AN88" s="2331"/>
      <c r="AO88" s="2331"/>
      <c r="AP88" s="2331"/>
      <c r="AQ88" s="2331"/>
      <c r="AR88" s="2331"/>
      <c r="AS88" s="2331"/>
      <c r="AT88" s="2331"/>
      <c r="AU88" s="2331"/>
      <c r="AV88" s="2331"/>
      <c r="AW88" s="2331"/>
      <c r="AX88" s="2331"/>
      <c r="AY88" s="2334" t="s">
        <v>555</v>
      </c>
      <c r="AZ88" s="2334"/>
      <c r="BA88" s="2334"/>
      <c r="BB88" s="2335"/>
      <c r="BC88" s="1207"/>
      <c r="BD88" s="1207"/>
      <c r="BE88" s="1213"/>
    </row>
    <row r="89" spans="1:57" ht="16.5" customHeight="1">
      <c r="A89" s="1207"/>
      <c r="B89" s="2263"/>
      <c r="C89" s="2264"/>
      <c r="D89" s="2264"/>
      <c r="E89" s="2264"/>
      <c r="F89" s="2264"/>
      <c r="G89" s="2264"/>
      <c r="H89" s="2264"/>
      <c r="I89" s="2264" t="s">
        <v>1897</v>
      </c>
      <c r="J89" s="2264"/>
      <c r="K89" s="2264"/>
      <c r="L89" s="2264"/>
      <c r="M89" s="2264"/>
      <c r="N89" s="2264"/>
      <c r="O89" s="2264" t="s">
        <v>1898</v>
      </c>
      <c r="P89" s="2264"/>
      <c r="Q89" s="2264"/>
      <c r="R89" s="2264"/>
      <c r="S89" s="2264"/>
      <c r="T89" s="2264"/>
      <c r="U89" s="2264"/>
      <c r="V89" s="2338" t="s">
        <v>2263</v>
      </c>
      <c r="W89" s="2338"/>
      <c r="X89" s="2338"/>
      <c r="Y89" s="2338"/>
      <c r="Z89" s="2338"/>
      <c r="AA89" s="2338"/>
      <c r="AB89" s="2243" t="s">
        <v>1899</v>
      </c>
      <c r="AC89" s="2243"/>
      <c r="AD89" s="2243"/>
      <c r="AE89" s="2243"/>
      <c r="AF89" s="2243"/>
      <c r="AG89" s="2243"/>
      <c r="AH89" s="2244"/>
      <c r="AI89" s="1207"/>
      <c r="AJ89" s="2332"/>
      <c r="AK89" s="2333"/>
      <c r="AL89" s="2333"/>
      <c r="AM89" s="2333"/>
      <c r="AN89" s="2333"/>
      <c r="AO89" s="2333"/>
      <c r="AP89" s="2333"/>
      <c r="AQ89" s="2333"/>
      <c r="AR89" s="2333"/>
      <c r="AS89" s="2333"/>
      <c r="AT89" s="2333"/>
      <c r="AU89" s="2333"/>
      <c r="AV89" s="2333"/>
      <c r="AW89" s="2333"/>
      <c r="AX89" s="2333"/>
      <c r="AY89" s="2336"/>
      <c r="AZ89" s="2336"/>
      <c r="BA89" s="2336"/>
      <c r="BB89" s="2337"/>
      <c r="BC89" s="1207"/>
      <c r="BD89" s="1207"/>
      <c r="BE89" s="1213"/>
    </row>
    <row r="90" spans="1:57" ht="16.5" customHeight="1">
      <c r="A90" s="1207"/>
      <c r="B90" s="2263"/>
      <c r="C90" s="2264"/>
      <c r="D90" s="2264"/>
      <c r="E90" s="2264"/>
      <c r="F90" s="2264"/>
      <c r="G90" s="2264"/>
      <c r="H90" s="2264"/>
      <c r="I90" s="2264"/>
      <c r="J90" s="2264"/>
      <c r="K90" s="2264"/>
      <c r="L90" s="2264"/>
      <c r="M90" s="2264"/>
      <c r="N90" s="2264"/>
      <c r="O90" s="2264"/>
      <c r="P90" s="2264"/>
      <c r="Q90" s="2264"/>
      <c r="R90" s="2264"/>
      <c r="S90" s="2264"/>
      <c r="T90" s="2264"/>
      <c r="U90" s="2264"/>
      <c r="V90" s="2338"/>
      <c r="W90" s="2338"/>
      <c r="X90" s="2338"/>
      <c r="Y90" s="2338"/>
      <c r="Z90" s="2338"/>
      <c r="AA90" s="2338"/>
      <c r="AB90" s="2243"/>
      <c r="AC90" s="2243"/>
      <c r="AD90" s="2243"/>
      <c r="AE90" s="2243"/>
      <c r="AF90" s="2243"/>
      <c r="AG90" s="2243"/>
      <c r="AH90" s="2244"/>
      <c r="AI90" s="1207"/>
      <c r="AJ90" s="2332"/>
      <c r="AK90" s="2333"/>
      <c r="AL90" s="2333"/>
      <c r="AM90" s="2333"/>
      <c r="AN90" s="2333"/>
      <c r="AO90" s="2333"/>
      <c r="AP90" s="2333"/>
      <c r="AQ90" s="2333"/>
      <c r="AR90" s="2333"/>
      <c r="AS90" s="2333"/>
      <c r="AT90" s="2333"/>
      <c r="AU90" s="2333"/>
      <c r="AV90" s="2333"/>
      <c r="AW90" s="2333"/>
      <c r="AX90" s="2333"/>
      <c r="AY90" s="2336"/>
      <c r="AZ90" s="2336"/>
      <c r="BA90" s="2336"/>
      <c r="BB90" s="2337"/>
      <c r="BC90" s="1207"/>
      <c r="BD90" s="1207"/>
      <c r="BE90" s="1213"/>
    </row>
    <row r="91" spans="1:57" ht="15.75" customHeight="1">
      <c r="A91" s="1207"/>
      <c r="B91" s="2263" t="s">
        <v>2246</v>
      </c>
      <c r="C91" s="2264"/>
      <c r="D91" s="2264"/>
      <c r="E91" s="2264"/>
      <c r="F91" s="2264"/>
      <c r="G91" s="2264"/>
      <c r="H91" s="2264"/>
      <c r="I91" s="2339">
        <v>0</v>
      </c>
      <c r="J91" s="2339"/>
      <c r="K91" s="2339"/>
      <c r="L91" s="2339"/>
      <c r="M91" s="2339"/>
      <c r="N91" s="2339"/>
      <c r="O91" s="2339">
        <v>0</v>
      </c>
      <c r="P91" s="2339"/>
      <c r="Q91" s="2339"/>
      <c r="R91" s="2339"/>
      <c r="S91" s="2339"/>
      <c r="T91" s="2339"/>
      <c r="U91" s="2339"/>
      <c r="V91" s="2339">
        <v>0</v>
      </c>
      <c r="W91" s="2339"/>
      <c r="X91" s="2339"/>
      <c r="Y91" s="2339"/>
      <c r="Z91" s="2339"/>
      <c r="AA91" s="2339"/>
      <c r="AB91" s="2339">
        <v>0</v>
      </c>
      <c r="AC91" s="2339"/>
      <c r="AD91" s="2339"/>
      <c r="AE91" s="2339"/>
      <c r="AF91" s="2339"/>
      <c r="AG91" s="2339"/>
      <c r="AH91" s="2348"/>
      <c r="AI91" s="1207"/>
      <c r="AJ91" s="2332"/>
      <c r="AK91" s="2333"/>
      <c r="AL91" s="2333"/>
      <c r="AM91" s="2333"/>
      <c r="AN91" s="2333"/>
      <c r="AO91" s="2333"/>
      <c r="AP91" s="2333"/>
      <c r="AQ91" s="2333"/>
      <c r="AR91" s="2333"/>
      <c r="AS91" s="2333"/>
      <c r="AT91" s="2333"/>
      <c r="AU91" s="2333"/>
      <c r="AV91" s="2333"/>
      <c r="AW91" s="2333"/>
      <c r="AX91" s="2333"/>
      <c r="AY91" s="2336"/>
      <c r="AZ91" s="2336"/>
      <c r="BA91" s="2336"/>
      <c r="BB91" s="2337"/>
      <c r="BC91" s="1207"/>
      <c r="BD91" s="1207"/>
      <c r="BE91" s="1213"/>
    </row>
    <row r="92" spans="1:57" ht="15.75" customHeight="1">
      <c r="A92" s="1207"/>
      <c r="B92" s="2263" t="s">
        <v>2247</v>
      </c>
      <c r="C92" s="2264"/>
      <c r="D92" s="2264"/>
      <c r="E92" s="2264"/>
      <c r="F92" s="2264"/>
      <c r="G92" s="2264"/>
      <c r="H92" s="2264"/>
      <c r="I92" s="2339">
        <v>0</v>
      </c>
      <c r="J92" s="2339"/>
      <c r="K92" s="2339"/>
      <c r="L92" s="2339"/>
      <c r="M92" s="2339"/>
      <c r="N92" s="2339"/>
      <c r="O92" s="2339">
        <v>0</v>
      </c>
      <c r="P92" s="2339"/>
      <c r="Q92" s="2339"/>
      <c r="R92" s="2339"/>
      <c r="S92" s="2339"/>
      <c r="T92" s="2339"/>
      <c r="U92" s="2339"/>
      <c r="V92" s="2339">
        <v>0</v>
      </c>
      <c r="W92" s="2339"/>
      <c r="X92" s="2339"/>
      <c r="Y92" s="2339"/>
      <c r="Z92" s="2339"/>
      <c r="AA92" s="2339"/>
      <c r="AB92" s="2339">
        <v>0</v>
      </c>
      <c r="AC92" s="2339"/>
      <c r="AD92" s="2339"/>
      <c r="AE92" s="2339"/>
      <c r="AF92" s="2339"/>
      <c r="AG92" s="2339"/>
      <c r="AH92" s="2348"/>
      <c r="AI92" s="1207"/>
      <c r="AJ92" s="2340" t="s">
        <v>2264</v>
      </c>
      <c r="AK92" s="2341"/>
      <c r="AL92" s="2341"/>
      <c r="AM92" s="2341"/>
      <c r="AN92" s="2341"/>
      <c r="AO92" s="2341"/>
      <c r="AP92" s="2341"/>
      <c r="AQ92" s="2341"/>
      <c r="AR92" s="2341"/>
      <c r="AS92" s="2341"/>
      <c r="AT92" s="2341"/>
      <c r="AU92" s="2341"/>
      <c r="AV92" s="2341"/>
      <c r="AW92" s="2341"/>
      <c r="AX92" s="2341"/>
      <c r="AY92" s="2341"/>
      <c r="AZ92" s="2341"/>
      <c r="BA92" s="2341"/>
      <c r="BB92" s="2342"/>
      <c r="BC92" s="1207"/>
      <c r="BD92" s="1207"/>
      <c r="BE92" s="1213"/>
    </row>
    <row r="93" spans="1:57" ht="15.75" customHeight="1" thickBot="1">
      <c r="A93" s="1207"/>
      <c r="B93" s="2281" t="s">
        <v>1900</v>
      </c>
      <c r="C93" s="2282"/>
      <c r="D93" s="2282"/>
      <c r="E93" s="2282"/>
      <c r="F93" s="2282"/>
      <c r="G93" s="2282"/>
      <c r="H93" s="2282"/>
      <c r="I93" s="2346">
        <v>0</v>
      </c>
      <c r="J93" s="2346"/>
      <c r="K93" s="2346"/>
      <c r="L93" s="2346"/>
      <c r="M93" s="2346"/>
      <c r="N93" s="2346"/>
      <c r="O93" s="2346">
        <v>0</v>
      </c>
      <c r="P93" s="2346"/>
      <c r="Q93" s="2346"/>
      <c r="R93" s="2346"/>
      <c r="S93" s="2346"/>
      <c r="T93" s="2346"/>
      <c r="U93" s="2346"/>
      <c r="V93" s="2346">
        <v>0</v>
      </c>
      <c r="W93" s="2346"/>
      <c r="X93" s="2346"/>
      <c r="Y93" s="2346"/>
      <c r="Z93" s="2346"/>
      <c r="AA93" s="2346"/>
      <c r="AB93" s="2346">
        <v>0</v>
      </c>
      <c r="AC93" s="2346"/>
      <c r="AD93" s="2346"/>
      <c r="AE93" s="2346"/>
      <c r="AF93" s="2346"/>
      <c r="AG93" s="2346"/>
      <c r="AH93" s="2347"/>
      <c r="AI93" s="1207"/>
      <c r="AJ93" s="2343"/>
      <c r="AK93" s="2344"/>
      <c r="AL93" s="2344"/>
      <c r="AM93" s="2344"/>
      <c r="AN93" s="2344"/>
      <c r="AO93" s="2344"/>
      <c r="AP93" s="2344"/>
      <c r="AQ93" s="2344"/>
      <c r="AR93" s="2344"/>
      <c r="AS93" s="2344"/>
      <c r="AT93" s="2344"/>
      <c r="AU93" s="2344"/>
      <c r="AV93" s="2344"/>
      <c r="AW93" s="2344"/>
      <c r="AX93" s="2344"/>
      <c r="AY93" s="2344"/>
      <c r="AZ93" s="2344"/>
      <c r="BA93" s="2344"/>
      <c r="BB93" s="234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30" t="s">
        <v>2248</v>
      </c>
      <c r="Y96" s="2331"/>
      <c r="Z96" s="2331"/>
      <c r="AA96" s="2331"/>
      <c r="AB96" s="2331"/>
      <c r="AC96" s="2331"/>
      <c r="AD96" s="2331"/>
      <c r="AE96" s="2331"/>
      <c r="AF96" s="2331"/>
      <c r="AG96" s="2331"/>
      <c r="AH96" s="2331"/>
      <c r="AI96" s="2331"/>
      <c r="AJ96" s="2331"/>
      <c r="AK96" s="2331"/>
      <c r="AL96" s="2331"/>
      <c r="AM96" s="2331"/>
      <c r="AN96" s="2331"/>
      <c r="AO96" s="2331"/>
      <c r="AP96" s="2331"/>
      <c r="AQ96" s="2331"/>
      <c r="AR96" s="2331"/>
      <c r="AS96" s="2331"/>
      <c r="AT96" s="2331"/>
      <c r="AU96" s="2331"/>
      <c r="AV96" s="2331"/>
      <c r="AW96" s="2331"/>
      <c r="AX96" s="2331"/>
      <c r="AY96" s="2331"/>
      <c r="AZ96" s="2331"/>
      <c r="BA96" s="2331"/>
      <c r="BB96" s="2331"/>
      <c r="BC96" s="2331"/>
      <c r="BD96" s="2356"/>
      <c r="BE96" s="1213"/>
    </row>
    <row r="97" spans="1:57" ht="15.75" customHeight="1">
      <c r="A97" s="1207"/>
      <c r="B97" s="2358" t="s">
        <v>1754</v>
      </c>
      <c r="C97" s="2359"/>
      <c r="D97" s="2359"/>
      <c r="E97" s="2359"/>
      <c r="F97" s="2359"/>
      <c r="G97" s="2359"/>
      <c r="H97" s="2359"/>
      <c r="I97" s="2359"/>
      <c r="J97" s="2359"/>
      <c r="K97" s="2359"/>
      <c r="L97" s="2359"/>
      <c r="M97" s="2359"/>
      <c r="N97" s="2359"/>
      <c r="O97" s="2359"/>
      <c r="P97" s="2359"/>
      <c r="Q97" s="2359"/>
      <c r="R97" s="2359"/>
      <c r="S97" s="2359"/>
      <c r="T97" s="2359"/>
      <c r="U97" s="2360"/>
      <c r="V97" s="1207"/>
      <c r="W97" s="1207"/>
      <c r="X97" s="2332"/>
      <c r="Y97" s="2333"/>
      <c r="Z97" s="2333"/>
      <c r="AA97" s="2333"/>
      <c r="AB97" s="2333"/>
      <c r="AC97" s="2333"/>
      <c r="AD97" s="2333"/>
      <c r="AE97" s="2333"/>
      <c r="AF97" s="2333"/>
      <c r="AG97" s="2333"/>
      <c r="AH97" s="2333"/>
      <c r="AI97" s="2333"/>
      <c r="AJ97" s="2333"/>
      <c r="AK97" s="2333"/>
      <c r="AL97" s="2333"/>
      <c r="AM97" s="2333"/>
      <c r="AN97" s="2333"/>
      <c r="AO97" s="2333"/>
      <c r="AP97" s="2333"/>
      <c r="AQ97" s="2333"/>
      <c r="AR97" s="2333"/>
      <c r="AS97" s="2333"/>
      <c r="AT97" s="2333"/>
      <c r="AU97" s="2333"/>
      <c r="AV97" s="2333"/>
      <c r="AW97" s="2333"/>
      <c r="AX97" s="2333"/>
      <c r="AY97" s="2333"/>
      <c r="AZ97" s="2333"/>
      <c r="BA97" s="2333"/>
      <c r="BB97" s="2333"/>
      <c r="BC97" s="2333"/>
      <c r="BD97" s="2357"/>
      <c r="BE97" s="1213"/>
    </row>
    <row r="98" spans="1:57" ht="15.75" customHeight="1">
      <c r="A98" s="1207"/>
      <c r="B98" s="2352"/>
      <c r="C98" s="2353"/>
      <c r="D98" s="2353"/>
      <c r="E98" s="2353"/>
      <c r="F98" s="2353"/>
      <c r="G98" s="2353"/>
      <c r="H98" s="2353"/>
      <c r="I98" s="2264" t="s">
        <v>2249</v>
      </c>
      <c r="J98" s="2264"/>
      <c r="K98" s="2264"/>
      <c r="L98" s="2264"/>
      <c r="M98" s="2264"/>
      <c r="N98" s="2264"/>
      <c r="O98" s="2361" t="s">
        <v>2250</v>
      </c>
      <c r="P98" s="2361"/>
      <c r="Q98" s="2361"/>
      <c r="R98" s="2361"/>
      <c r="S98" s="2361"/>
      <c r="T98" s="2361"/>
      <c r="U98" s="2362"/>
      <c r="V98" s="1207"/>
      <c r="W98" s="1207"/>
      <c r="X98" s="2316" t="s">
        <v>2262</v>
      </c>
      <c r="Y98" s="2317"/>
      <c r="Z98" s="2317"/>
      <c r="AA98" s="2317"/>
      <c r="AB98" s="2317"/>
      <c r="AC98" s="2317"/>
      <c r="AD98" s="2317"/>
      <c r="AE98" s="2317"/>
      <c r="AF98" s="2317"/>
      <c r="AG98" s="2317"/>
      <c r="AH98" s="2317"/>
      <c r="AI98" s="2317"/>
      <c r="AJ98" s="2317"/>
      <c r="AK98" s="2317"/>
      <c r="AL98" s="2317"/>
      <c r="AM98" s="2317"/>
      <c r="AN98" s="2317"/>
      <c r="AO98" s="2317"/>
      <c r="AP98" s="2317"/>
      <c r="AQ98" s="2317"/>
      <c r="AR98" s="2317"/>
      <c r="AS98" s="2317"/>
      <c r="AT98" s="2317"/>
      <c r="AU98" s="2317"/>
      <c r="AV98" s="2317"/>
      <c r="AW98" s="2317"/>
      <c r="AX98" s="2317"/>
      <c r="AY98" s="2317"/>
      <c r="AZ98" s="2317"/>
      <c r="BA98" s="2317"/>
      <c r="BB98" s="2317"/>
      <c r="BC98" s="2317"/>
      <c r="BD98" s="2318"/>
      <c r="BE98" s="1213"/>
    </row>
    <row r="99" spans="1:57" ht="15.75" customHeight="1">
      <c r="A99" s="1207"/>
      <c r="B99" s="2363" t="s">
        <v>2251</v>
      </c>
      <c r="C99" s="2364"/>
      <c r="D99" s="2364"/>
      <c r="E99" s="2364"/>
      <c r="F99" s="2364"/>
      <c r="G99" s="2364"/>
      <c r="H99" s="2364"/>
      <c r="I99" s="2339">
        <v>0</v>
      </c>
      <c r="J99" s="2339"/>
      <c r="K99" s="2339"/>
      <c r="L99" s="2339"/>
      <c r="M99" s="2339"/>
      <c r="N99" s="2339"/>
      <c r="O99" s="2339">
        <v>0</v>
      </c>
      <c r="P99" s="2339"/>
      <c r="Q99" s="2339"/>
      <c r="R99" s="2339"/>
      <c r="S99" s="2339"/>
      <c r="T99" s="2339"/>
      <c r="U99" s="2348"/>
      <c r="V99" s="1207"/>
      <c r="W99" s="1207"/>
      <c r="X99" s="2316"/>
      <c r="Y99" s="2317"/>
      <c r="Z99" s="2317"/>
      <c r="AA99" s="2317"/>
      <c r="AB99" s="2317"/>
      <c r="AC99" s="2317"/>
      <c r="AD99" s="2317"/>
      <c r="AE99" s="2317"/>
      <c r="AF99" s="2317"/>
      <c r="AG99" s="2317"/>
      <c r="AH99" s="2317"/>
      <c r="AI99" s="2317"/>
      <c r="AJ99" s="2317"/>
      <c r="AK99" s="2317"/>
      <c r="AL99" s="2317"/>
      <c r="AM99" s="2317"/>
      <c r="AN99" s="2317"/>
      <c r="AO99" s="2317"/>
      <c r="AP99" s="2317"/>
      <c r="AQ99" s="2317"/>
      <c r="AR99" s="2317"/>
      <c r="AS99" s="2317"/>
      <c r="AT99" s="2317"/>
      <c r="AU99" s="2317"/>
      <c r="AV99" s="2317"/>
      <c r="AW99" s="2317"/>
      <c r="AX99" s="2317"/>
      <c r="AY99" s="2317"/>
      <c r="AZ99" s="2317"/>
      <c r="BA99" s="2317"/>
      <c r="BB99" s="2317"/>
      <c r="BC99" s="2317"/>
      <c r="BD99" s="2318"/>
      <c r="BE99" s="1213"/>
    </row>
    <row r="100" spans="1:57" ht="15.75" customHeight="1" thickBot="1">
      <c r="A100" s="1207"/>
      <c r="B100" s="2365" t="s">
        <v>2252</v>
      </c>
      <c r="C100" s="2366"/>
      <c r="D100" s="2366"/>
      <c r="E100" s="2366"/>
      <c r="F100" s="2366"/>
      <c r="G100" s="2366"/>
      <c r="H100" s="2366"/>
      <c r="I100" s="2346">
        <v>0</v>
      </c>
      <c r="J100" s="2346"/>
      <c r="K100" s="2346"/>
      <c r="L100" s="2346"/>
      <c r="M100" s="2346"/>
      <c r="N100" s="2346"/>
      <c r="O100" s="2350"/>
      <c r="P100" s="2350"/>
      <c r="Q100" s="2350"/>
      <c r="R100" s="2350"/>
      <c r="S100" s="2350"/>
      <c r="T100" s="2350"/>
      <c r="U100" s="2351"/>
      <c r="V100" s="1207"/>
      <c r="W100" s="1207"/>
      <c r="X100" s="2316"/>
      <c r="Y100" s="2317"/>
      <c r="Z100" s="2317"/>
      <c r="AA100" s="2317"/>
      <c r="AB100" s="2317"/>
      <c r="AC100" s="2317"/>
      <c r="AD100" s="2317"/>
      <c r="AE100" s="2317"/>
      <c r="AF100" s="2317"/>
      <c r="AG100" s="2317"/>
      <c r="AH100" s="2317"/>
      <c r="AI100" s="2317"/>
      <c r="AJ100" s="2317"/>
      <c r="AK100" s="2317"/>
      <c r="AL100" s="2317"/>
      <c r="AM100" s="2317"/>
      <c r="AN100" s="2317"/>
      <c r="AO100" s="2317"/>
      <c r="AP100" s="2317"/>
      <c r="AQ100" s="2317"/>
      <c r="AR100" s="2317"/>
      <c r="AS100" s="2317"/>
      <c r="AT100" s="2317"/>
      <c r="AU100" s="2317"/>
      <c r="AV100" s="2317"/>
      <c r="AW100" s="2317"/>
      <c r="AX100" s="2317"/>
      <c r="AY100" s="2317"/>
      <c r="AZ100" s="2317"/>
      <c r="BA100" s="2317"/>
      <c r="BB100" s="2317"/>
      <c r="BC100" s="2317"/>
      <c r="BD100" s="231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6"/>
      <c r="Y101" s="2317"/>
      <c r="Z101" s="2317"/>
      <c r="AA101" s="2317"/>
      <c r="AB101" s="2317"/>
      <c r="AC101" s="2317"/>
      <c r="AD101" s="2317"/>
      <c r="AE101" s="2317"/>
      <c r="AF101" s="2317"/>
      <c r="AG101" s="2317"/>
      <c r="AH101" s="2317"/>
      <c r="AI101" s="2317"/>
      <c r="AJ101" s="2317"/>
      <c r="AK101" s="2317"/>
      <c r="AL101" s="2317"/>
      <c r="AM101" s="2317"/>
      <c r="AN101" s="2317"/>
      <c r="AO101" s="2317"/>
      <c r="AP101" s="2317"/>
      <c r="AQ101" s="2317"/>
      <c r="AR101" s="2317"/>
      <c r="AS101" s="2317"/>
      <c r="AT101" s="2317"/>
      <c r="AU101" s="2317"/>
      <c r="AV101" s="2317"/>
      <c r="AW101" s="2317"/>
      <c r="AX101" s="2317"/>
      <c r="AY101" s="2317"/>
      <c r="AZ101" s="2317"/>
      <c r="BA101" s="2317"/>
      <c r="BB101" s="2317"/>
      <c r="BC101" s="2317"/>
      <c r="BD101" s="2318"/>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16"/>
      <c r="Y102" s="2317"/>
      <c r="Z102" s="2317"/>
      <c r="AA102" s="2317"/>
      <c r="AB102" s="2317"/>
      <c r="AC102" s="2317"/>
      <c r="AD102" s="2317"/>
      <c r="AE102" s="2317"/>
      <c r="AF102" s="2317"/>
      <c r="AG102" s="2317"/>
      <c r="AH102" s="2317"/>
      <c r="AI102" s="2317"/>
      <c r="AJ102" s="2317"/>
      <c r="AK102" s="2317"/>
      <c r="AL102" s="2317"/>
      <c r="AM102" s="2317"/>
      <c r="AN102" s="2317"/>
      <c r="AO102" s="2317"/>
      <c r="AP102" s="2317"/>
      <c r="AQ102" s="2317"/>
      <c r="AR102" s="2317"/>
      <c r="AS102" s="2317"/>
      <c r="AT102" s="2317"/>
      <c r="AU102" s="2317"/>
      <c r="AV102" s="2317"/>
      <c r="AW102" s="2317"/>
      <c r="AX102" s="2317"/>
      <c r="AY102" s="2317"/>
      <c r="AZ102" s="2317"/>
      <c r="BA102" s="2317"/>
      <c r="BB102" s="2317"/>
      <c r="BC102" s="2317"/>
      <c r="BD102" s="231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6"/>
      <c r="Y103" s="2317"/>
      <c r="Z103" s="2317"/>
      <c r="AA103" s="2317"/>
      <c r="AB103" s="2317"/>
      <c r="AC103" s="2317"/>
      <c r="AD103" s="2317"/>
      <c r="AE103" s="2317"/>
      <c r="AF103" s="2317"/>
      <c r="AG103" s="2317"/>
      <c r="AH103" s="2317"/>
      <c r="AI103" s="2317"/>
      <c r="AJ103" s="2317"/>
      <c r="AK103" s="2317"/>
      <c r="AL103" s="2317"/>
      <c r="AM103" s="2317"/>
      <c r="AN103" s="2317"/>
      <c r="AO103" s="2317"/>
      <c r="AP103" s="2317"/>
      <c r="AQ103" s="2317"/>
      <c r="AR103" s="2317"/>
      <c r="AS103" s="2317"/>
      <c r="AT103" s="2317"/>
      <c r="AU103" s="2317"/>
      <c r="AV103" s="2317"/>
      <c r="AW103" s="2317"/>
      <c r="AX103" s="2317"/>
      <c r="AY103" s="2317"/>
      <c r="AZ103" s="2317"/>
      <c r="BA103" s="2317"/>
      <c r="BB103" s="2317"/>
      <c r="BC103" s="2317"/>
      <c r="BD103" s="2318"/>
      <c r="BE103" s="1213"/>
    </row>
    <row r="104" spans="1:57" ht="15.75" customHeight="1">
      <c r="A104" s="1207"/>
      <c r="B104" s="2197" t="s">
        <v>1905</v>
      </c>
      <c r="C104" s="2198"/>
      <c r="D104" s="2198"/>
      <c r="E104" s="2198"/>
      <c r="F104" s="2198"/>
      <c r="G104" s="2198"/>
      <c r="H104" s="2198"/>
      <c r="I104" s="2198"/>
      <c r="J104" s="2198"/>
      <c r="K104" s="2198"/>
      <c r="L104" s="2198"/>
      <c r="M104" s="2198"/>
      <c r="N104" s="2198"/>
      <c r="O104" s="2198"/>
      <c r="P104" s="2198"/>
      <c r="Q104" s="2198"/>
      <c r="R104" s="2198"/>
      <c r="S104" s="2198"/>
      <c r="T104" s="2198"/>
      <c r="U104" s="2199"/>
      <c r="V104" s="1207"/>
      <c r="W104" s="1207"/>
      <c r="X104" s="2316"/>
      <c r="Y104" s="2317"/>
      <c r="Z104" s="2317"/>
      <c r="AA104" s="2317"/>
      <c r="AB104" s="2317"/>
      <c r="AC104" s="2317"/>
      <c r="AD104" s="2317"/>
      <c r="AE104" s="2317"/>
      <c r="AF104" s="2317"/>
      <c r="AG104" s="2317"/>
      <c r="AH104" s="2317"/>
      <c r="AI104" s="2317"/>
      <c r="AJ104" s="2317"/>
      <c r="AK104" s="2317"/>
      <c r="AL104" s="2317"/>
      <c r="AM104" s="2317"/>
      <c r="AN104" s="2317"/>
      <c r="AO104" s="2317"/>
      <c r="AP104" s="2317"/>
      <c r="AQ104" s="2317"/>
      <c r="AR104" s="2317"/>
      <c r="AS104" s="2317"/>
      <c r="AT104" s="2317"/>
      <c r="AU104" s="2317"/>
      <c r="AV104" s="2317"/>
      <c r="AW104" s="2317"/>
      <c r="AX104" s="2317"/>
      <c r="AY104" s="2317"/>
      <c r="AZ104" s="2317"/>
      <c r="BA104" s="2317"/>
      <c r="BB104" s="2317"/>
      <c r="BC104" s="2317"/>
      <c r="BD104" s="2318"/>
      <c r="BE104" s="1213"/>
    </row>
    <row r="105" spans="1:57" ht="15.75" customHeight="1">
      <c r="A105" s="1207"/>
      <c r="B105" s="2352"/>
      <c r="C105" s="2353"/>
      <c r="D105" s="2353"/>
      <c r="E105" s="2353"/>
      <c r="F105" s="2353"/>
      <c r="G105" s="2353"/>
      <c r="H105" s="2353"/>
      <c r="I105" s="2354" t="s">
        <v>1898</v>
      </c>
      <c r="J105" s="2354"/>
      <c r="K105" s="2354"/>
      <c r="L105" s="2354"/>
      <c r="M105" s="2354"/>
      <c r="N105" s="2354"/>
      <c r="O105" s="2354"/>
      <c r="P105" s="2354" t="s">
        <v>2263</v>
      </c>
      <c r="Q105" s="2354"/>
      <c r="R105" s="2354"/>
      <c r="S105" s="2354"/>
      <c r="T105" s="2354"/>
      <c r="U105" s="2355"/>
      <c r="V105" s="1207"/>
      <c r="W105" s="1207"/>
      <c r="X105" s="2316"/>
      <c r="Y105" s="2317"/>
      <c r="Z105" s="2317"/>
      <c r="AA105" s="2317"/>
      <c r="AB105" s="2317"/>
      <c r="AC105" s="2317"/>
      <c r="AD105" s="2317"/>
      <c r="AE105" s="2317"/>
      <c r="AF105" s="2317"/>
      <c r="AG105" s="2317"/>
      <c r="AH105" s="2317"/>
      <c r="AI105" s="2317"/>
      <c r="AJ105" s="2317"/>
      <c r="AK105" s="2317"/>
      <c r="AL105" s="2317"/>
      <c r="AM105" s="2317"/>
      <c r="AN105" s="2317"/>
      <c r="AO105" s="2317"/>
      <c r="AP105" s="2317"/>
      <c r="AQ105" s="2317"/>
      <c r="AR105" s="2317"/>
      <c r="AS105" s="2317"/>
      <c r="AT105" s="2317"/>
      <c r="AU105" s="2317"/>
      <c r="AV105" s="2317"/>
      <c r="AW105" s="2317"/>
      <c r="AX105" s="2317"/>
      <c r="AY105" s="2317"/>
      <c r="AZ105" s="2317"/>
      <c r="BA105" s="2317"/>
      <c r="BB105" s="2317"/>
      <c r="BC105" s="2317"/>
      <c r="BD105" s="2318"/>
      <c r="BE105" s="1213"/>
    </row>
    <row r="106" spans="1:57" ht="15.75" customHeight="1">
      <c r="A106" s="1207"/>
      <c r="B106" s="2352"/>
      <c r="C106" s="2353"/>
      <c r="D106" s="2353"/>
      <c r="E106" s="2353"/>
      <c r="F106" s="2353"/>
      <c r="G106" s="2353"/>
      <c r="H106" s="2353"/>
      <c r="I106" s="2354"/>
      <c r="J106" s="2354"/>
      <c r="K106" s="2354"/>
      <c r="L106" s="2354"/>
      <c r="M106" s="2354"/>
      <c r="N106" s="2354"/>
      <c r="O106" s="2354"/>
      <c r="P106" s="2354"/>
      <c r="Q106" s="2354"/>
      <c r="R106" s="2354"/>
      <c r="S106" s="2354"/>
      <c r="T106" s="2354"/>
      <c r="U106" s="2355"/>
      <c r="V106" s="1207"/>
      <c r="W106" s="1207"/>
      <c r="X106" s="2316"/>
      <c r="Y106" s="2317"/>
      <c r="Z106" s="2317"/>
      <c r="AA106" s="2317"/>
      <c r="AB106" s="2317"/>
      <c r="AC106" s="2317"/>
      <c r="AD106" s="2317"/>
      <c r="AE106" s="2317"/>
      <c r="AF106" s="2317"/>
      <c r="AG106" s="2317"/>
      <c r="AH106" s="2317"/>
      <c r="AI106" s="2317"/>
      <c r="AJ106" s="2317"/>
      <c r="AK106" s="2317"/>
      <c r="AL106" s="2317"/>
      <c r="AM106" s="2317"/>
      <c r="AN106" s="2317"/>
      <c r="AO106" s="2317"/>
      <c r="AP106" s="2317"/>
      <c r="AQ106" s="2317"/>
      <c r="AR106" s="2317"/>
      <c r="AS106" s="2317"/>
      <c r="AT106" s="2317"/>
      <c r="AU106" s="2317"/>
      <c r="AV106" s="2317"/>
      <c r="AW106" s="2317"/>
      <c r="AX106" s="2317"/>
      <c r="AY106" s="2317"/>
      <c r="AZ106" s="2317"/>
      <c r="BA106" s="2317"/>
      <c r="BB106" s="2317"/>
      <c r="BC106" s="2317"/>
      <c r="BD106" s="2318"/>
      <c r="BE106" s="1213"/>
    </row>
    <row r="107" spans="1:57" ht="15.75" customHeight="1">
      <c r="A107" s="1207"/>
      <c r="B107" s="2363" t="s">
        <v>2251</v>
      </c>
      <c r="C107" s="2364"/>
      <c r="D107" s="2364"/>
      <c r="E107" s="2364"/>
      <c r="F107" s="2364"/>
      <c r="G107" s="2364"/>
      <c r="H107" s="2364"/>
      <c r="I107" s="2339">
        <v>0</v>
      </c>
      <c r="J107" s="2339"/>
      <c r="K107" s="2339"/>
      <c r="L107" s="2339"/>
      <c r="M107" s="2339"/>
      <c r="N107" s="2339"/>
      <c r="O107" s="2339"/>
      <c r="P107" s="2339">
        <v>0</v>
      </c>
      <c r="Q107" s="2339"/>
      <c r="R107" s="2339"/>
      <c r="S107" s="2339"/>
      <c r="T107" s="2339"/>
      <c r="U107" s="2348"/>
      <c r="V107" s="1207"/>
      <c r="W107" s="1207"/>
      <c r="X107" s="2316"/>
      <c r="Y107" s="2317"/>
      <c r="Z107" s="2317"/>
      <c r="AA107" s="2317"/>
      <c r="AB107" s="2317"/>
      <c r="AC107" s="2317"/>
      <c r="AD107" s="2317"/>
      <c r="AE107" s="2317"/>
      <c r="AF107" s="2317"/>
      <c r="AG107" s="2317"/>
      <c r="AH107" s="2317"/>
      <c r="AI107" s="2317"/>
      <c r="AJ107" s="2317"/>
      <c r="AK107" s="2317"/>
      <c r="AL107" s="2317"/>
      <c r="AM107" s="2317"/>
      <c r="AN107" s="2317"/>
      <c r="AO107" s="2317"/>
      <c r="AP107" s="2317"/>
      <c r="AQ107" s="2317"/>
      <c r="AR107" s="2317"/>
      <c r="AS107" s="2317"/>
      <c r="AT107" s="2317"/>
      <c r="AU107" s="2317"/>
      <c r="AV107" s="2317"/>
      <c r="AW107" s="2317"/>
      <c r="AX107" s="2317"/>
      <c r="AY107" s="2317"/>
      <c r="AZ107" s="2317"/>
      <c r="BA107" s="2317"/>
      <c r="BB107" s="2317"/>
      <c r="BC107" s="2317"/>
      <c r="BD107" s="2318"/>
      <c r="BE107" s="1213"/>
    </row>
    <row r="108" spans="1:57" ht="15.75" customHeight="1" thickBot="1">
      <c r="A108" s="1207"/>
      <c r="B108" s="2365" t="s">
        <v>2252</v>
      </c>
      <c r="C108" s="2366"/>
      <c r="D108" s="2366"/>
      <c r="E108" s="2366"/>
      <c r="F108" s="2366"/>
      <c r="G108" s="2366"/>
      <c r="H108" s="2366"/>
      <c r="I108" s="2346">
        <v>0</v>
      </c>
      <c r="J108" s="2346"/>
      <c r="K108" s="2346"/>
      <c r="L108" s="2346"/>
      <c r="M108" s="2346"/>
      <c r="N108" s="2346"/>
      <c r="O108" s="2346"/>
      <c r="P108" s="2346">
        <v>0</v>
      </c>
      <c r="Q108" s="2346"/>
      <c r="R108" s="2346"/>
      <c r="S108" s="2346"/>
      <c r="T108" s="2346"/>
      <c r="U108" s="2347"/>
      <c r="V108" s="1207"/>
      <c r="W108" s="1207"/>
      <c r="X108" s="2319"/>
      <c r="Y108" s="2320"/>
      <c r="Z108" s="2320"/>
      <c r="AA108" s="2320"/>
      <c r="AB108" s="2320"/>
      <c r="AC108" s="2320"/>
      <c r="AD108" s="2320"/>
      <c r="AE108" s="2320"/>
      <c r="AF108" s="2320"/>
      <c r="AG108" s="2320"/>
      <c r="AH108" s="2320"/>
      <c r="AI108" s="2320"/>
      <c r="AJ108" s="2320"/>
      <c r="AK108" s="2320"/>
      <c r="AL108" s="2320"/>
      <c r="AM108" s="2320"/>
      <c r="AN108" s="2320"/>
      <c r="AO108" s="2320"/>
      <c r="AP108" s="2320"/>
      <c r="AQ108" s="2320"/>
      <c r="AR108" s="2320"/>
      <c r="AS108" s="2320"/>
      <c r="AT108" s="2320"/>
      <c r="AU108" s="2320"/>
      <c r="AV108" s="2320"/>
      <c r="AW108" s="2320"/>
      <c r="AX108" s="2320"/>
      <c r="AY108" s="2320"/>
      <c r="AZ108" s="2320"/>
      <c r="BA108" s="2320"/>
      <c r="BB108" s="2320"/>
      <c r="BC108" s="2320"/>
      <c r="BD108" s="232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7" t="s">
        <v>1906</v>
      </c>
      <c r="C110" s="2368"/>
      <c r="D110" s="2368"/>
      <c r="E110" s="2368"/>
      <c r="F110" s="2368"/>
      <c r="G110" s="2368"/>
      <c r="H110" s="2368"/>
      <c r="I110" s="2368"/>
      <c r="J110" s="2368"/>
      <c r="K110" s="2368"/>
      <c r="L110" s="2368"/>
      <c r="M110" s="2368"/>
      <c r="N110" s="2368"/>
      <c r="O110" s="2368"/>
      <c r="P110" s="2368"/>
      <c r="Q110" s="2368"/>
      <c r="R110" s="2368"/>
      <c r="S110" s="2368"/>
      <c r="T110" s="2368"/>
      <c r="U110" s="2368"/>
      <c r="V110" s="2368"/>
      <c r="W110" s="2368"/>
      <c r="X110" s="2368"/>
      <c r="Y110" s="2368"/>
      <c r="Z110" s="2368"/>
      <c r="AA110" s="2368"/>
      <c r="AB110" s="2368"/>
      <c r="AC110" s="2368"/>
      <c r="AD110" s="2368"/>
      <c r="AE110" s="2368"/>
      <c r="AF110" s="2368"/>
      <c r="AG110" s="2368"/>
      <c r="AH110" s="2288" t="s">
        <v>555</v>
      </c>
      <c r="AI110" s="2288"/>
      <c r="AJ110" s="2288"/>
      <c r="AK110" s="2288"/>
      <c r="AL110" s="2288"/>
      <c r="AM110" s="2288"/>
      <c r="AN110" s="2288"/>
      <c r="AO110" s="2288"/>
      <c r="AP110" s="2288"/>
      <c r="AQ110" s="2288"/>
      <c r="AR110" s="2288"/>
      <c r="AS110" s="2288"/>
      <c r="AT110" s="2288"/>
      <c r="AU110" s="2288"/>
      <c r="AV110" s="2288"/>
      <c r="AW110" s="2288"/>
      <c r="AX110" s="2289"/>
      <c r="AY110" s="1207"/>
      <c r="AZ110" s="1207"/>
      <c r="BA110" s="1207"/>
      <c r="BB110" s="1207"/>
      <c r="BC110" s="1207"/>
      <c r="BD110" s="1207"/>
      <c r="BE110" s="1213"/>
    </row>
    <row r="111" spans="1:57" ht="15.75" customHeight="1">
      <c r="A111" s="1207"/>
      <c r="B111" s="2369" t="s">
        <v>1907</v>
      </c>
      <c r="C111" s="2370"/>
      <c r="D111" s="2370"/>
      <c r="E111" s="2370"/>
      <c r="F111" s="2370"/>
      <c r="G111" s="2370"/>
      <c r="H111" s="2370"/>
      <c r="I111" s="2370"/>
      <c r="J111" s="2370"/>
      <c r="K111" s="2370"/>
      <c r="L111" s="2370"/>
      <c r="M111" s="2370"/>
      <c r="N111" s="2370"/>
      <c r="O111" s="2370"/>
      <c r="P111" s="2370"/>
      <c r="Q111" s="2370"/>
      <c r="R111" s="2371" t="s">
        <v>2265</v>
      </c>
      <c r="S111" s="2371"/>
      <c r="T111" s="2371"/>
      <c r="U111" s="2371"/>
      <c r="V111" s="2371"/>
      <c r="W111" s="2371"/>
      <c r="X111" s="2371"/>
      <c r="Y111" s="2371"/>
      <c r="Z111" s="2371"/>
      <c r="AA111" s="2371"/>
      <c r="AB111" s="2371"/>
      <c r="AC111" s="2371"/>
      <c r="AD111" s="2371"/>
      <c r="AE111" s="2371"/>
      <c r="AF111" s="2371"/>
      <c r="AG111" s="2371"/>
      <c r="AH111" s="2371"/>
      <c r="AI111" s="2371"/>
      <c r="AJ111" s="2371"/>
      <c r="AK111" s="2371"/>
      <c r="AL111" s="2371"/>
      <c r="AM111" s="2371"/>
      <c r="AN111" s="2371"/>
      <c r="AO111" s="2371"/>
      <c r="AP111" s="2371"/>
      <c r="AQ111" s="2371"/>
      <c r="AR111" s="2371"/>
      <c r="AS111" s="2371"/>
      <c r="AT111" s="2371"/>
      <c r="AU111" s="2371"/>
      <c r="AV111" s="2371"/>
      <c r="AW111" s="2371"/>
      <c r="AX111" s="2372"/>
      <c r="AY111" s="1207"/>
      <c r="AZ111" s="1207"/>
      <c r="BA111" s="1207"/>
      <c r="BB111" s="1207"/>
      <c r="BC111" s="1207" t="s">
        <v>252</v>
      </c>
      <c r="BD111" s="1207"/>
      <c r="BE111" s="1213"/>
    </row>
    <row r="112" spans="1:57" ht="15.75" customHeight="1">
      <c r="A112" s="1207"/>
      <c r="B112" s="2373" t="s">
        <v>2266</v>
      </c>
      <c r="C112" s="2374"/>
      <c r="D112" s="2374"/>
      <c r="E112" s="2374"/>
      <c r="F112" s="2374"/>
      <c r="G112" s="2374"/>
      <c r="H112" s="2374"/>
      <c r="I112" s="2374"/>
      <c r="J112" s="2374"/>
      <c r="K112" s="2374"/>
      <c r="L112" s="2374"/>
      <c r="M112" s="2374"/>
      <c r="N112" s="2374"/>
      <c r="O112" s="2374"/>
      <c r="P112" s="2374"/>
      <c r="Q112" s="2374"/>
      <c r="R112" s="2374"/>
      <c r="S112" s="2374"/>
      <c r="T112" s="2374"/>
      <c r="U112" s="2374"/>
      <c r="V112" s="2374"/>
      <c r="W112" s="2374"/>
      <c r="X112" s="2374"/>
      <c r="Y112" s="2374"/>
      <c r="Z112" s="2374"/>
      <c r="AA112" s="2374"/>
      <c r="AB112" s="2374"/>
      <c r="AC112" s="2374"/>
      <c r="AD112" s="2374"/>
      <c r="AE112" s="2374"/>
      <c r="AF112" s="2374"/>
      <c r="AG112" s="2374"/>
      <c r="AH112" s="2374"/>
      <c r="AI112" s="2374"/>
      <c r="AJ112" s="2374"/>
      <c r="AK112" s="2374"/>
      <c r="AL112" s="2374"/>
      <c r="AM112" s="2374"/>
      <c r="AN112" s="2374"/>
      <c r="AO112" s="2374"/>
      <c r="AP112" s="2374"/>
      <c r="AQ112" s="2374"/>
      <c r="AR112" s="2374"/>
      <c r="AS112" s="2374"/>
      <c r="AT112" s="2374"/>
      <c r="AU112" s="2374"/>
      <c r="AV112" s="2374"/>
      <c r="AW112" s="2374"/>
      <c r="AX112" s="2375"/>
      <c r="AY112" s="1207"/>
      <c r="AZ112" s="1207"/>
      <c r="BA112" s="1207"/>
      <c r="BB112" s="1207"/>
      <c r="BC112" s="1207"/>
      <c r="BD112" s="1207"/>
      <c r="BE112" s="1213"/>
    </row>
    <row r="113" spans="1:57" ht="15.75" customHeight="1">
      <c r="A113" s="1207"/>
      <c r="B113" s="2373"/>
      <c r="C113" s="2374"/>
      <c r="D113" s="2374"/>
      <c r="E113" s="2374"/>
      <c r="F113" s="2374"/>
      <c r="G113" s="2374"/>
      <c r="H113" s="2374"/>
      <c r="I113" s="2374"/>
      <c r="J113" s="2374"/>
      <c r="K113" s="2374"/>
      <c r="L113" s="2374"/>
      <c r="M113" s="2374"/>
      <c r="N113" s="2374"/>
      <c r="O113" s="2374"/>
      <c r="P113" s="2374"/>
      <c r="Q113" s="2374"/>
      <c r="R113" s="2374"/>
      <c r="S113" s="2374"/>
      <c r="T113" s="2374"/>
      <c r="U113" s="2374"/>
      <c r="V113" s="2374"/>
      <c r="W113" s="2374"/>
      <c r="X113" s="2374"/>
      <c r="Y113" s="2374"/>
      <c r="Z113" s="2374"/>
      <c r="AA113" s="2374"/>
      <c r="AB113" s="2374"/>
      <c r="AC113" s="2374"/>
      <c r="AD113" s="2374"/>
      <c r="AE113" s="2374"/>
      <c r="AF113" s="2374"/>
      <c r="AG113" s="2374"/>
      <c r="AH113" s="2374"/>
      <c r="AI113" s="2374"/>
      <c r="AJ113" s="2374"/>
      <c r="AK113" s="2374"/>
      <c r="AL113" s="2374"/>
      <c r="AM113" s="2374"/>
      <c r="AN113" s="2374"/>
      <c r="AO113" s="2374"/>
      <c r="AP113" s="2374"/>
      <c r="AQ113" s="2374"/>
      <c r="AR113" s="2374"/>
      <c r="AS113" s="2374"/>
      <c r="AT113" s="2374"/>
      <c r="AU113" s="2374"/>
      <c r="AV113" s="2374"/>
      <c r="AW113" s="2374"/>
      <c r="AX113" s="2375"/>
      <c r="AY113" s="1207"/>
      <c r="AZ113" s="1207"/>
      <c r="BA113" s="1207"/>
      <c r="BB113" s="1207"/>
      <c r="BC113" s="1207"/>
      <c r="BD113" s="1207"/>
      <c r="BE113" s="1213"/>
    </row>
    <row r="114" spans="1:57" ht="15.75" customHeight="1">
      <c r="A114" s="1207"/>
      <c r="B114" s="2373"/>
      <c r="C114" s="2374"/>
      <c r="D114" s="2374"/>
      <c r="E114" s="2374"/>
      <c r="F114" s="2374"/>
      <c r="G114" s="2374"/>
      <c r="H114" s="2374"/>
      <c r="I114" s="2374"/>
      <c r="J114" s="2374"/>
      <c r="K114" s="2374"/>
      <c r="L114" s="2374"/>
      <c r="M114" s="2374"/>
      <c r="N114" s="2374"/>
      <c r="O114" s="2374"/>
      <c r="P114" s="2374"/>
      <c r="Q114" s="2374"/>
      <c r="R114" s="2374"/>
      <c r="S114" s="2374"/>
      <c r="T114" s="2374"/>
      <c r="U114" s="2374"/>
      <c r="V114" s="2374"/>
      <c r="W114" s="2374"/>
      <c r="X114" s="2374"/>
      <c r="Y114" s="2374"/>
      <c r="Z114" s="2374"/>
      <c r="AA114" s="2374"/>
      <c r="AB114" s="2374"/>
      <c r="AC114" s="2374"/>
      <c r="AD114" s="2374"/>
      <c r="AE114" s="2374"/>
      <c r="AF114" s="2374"/>
      <c r="AG114" s="2374"/>
      <c r="AH114" s="2374"/>
      <c r="AI114" s="2374"/>
      <c r="AJ114" s="2374"/>
      <c r="AK114" s="2374"/>
      <c r="AL114" s="2374"/>
      <c r="AM114" s="2374"/>
      <c r="AN114" s="2374"/>
      <c r="AO114" s="2374"/>
      <c r="AP114" s="2374"/>
      <c r="AQ114" s="2374"/>
      <c r="AR114" s="2374"/>
      <c r="AS114" s="2374"/>
      <c r="AT114" s="2374"/>
      <c r="AU114" s="2374"/>
      <c r="AV114" s="2374"/>
      <c r="AW114" s="2374"/>
      <c r="AX114" s="2375"/>
      <c r="AY114" s="1207"/>
      <c r="AZ114" s="1207"/>
      <c r="BA114" s="1207"/>
      <c r="BB114" s="1207"/>
      <c r="BC114" s="1207"/>
      <c r="BD114" s="1207"/>
      <c r="BE114" s="1213"/>
    </row>
    <row r="115" spans="1:57" ht="15.75" customHeight="1">
      <c r="A115" s="1207"/>
      <c r="B115" s="2373"/>
      <c r="C115" s="2374"/>
      <c r="D115" s="2374"/>
      <c r="E115" s="2374"/>
      <c r="F115" s="2374"/>
      <c r="G115" s="2374"/>
      <c r="H115" s="2374"/>
      <c r="I115" s="2374"/>
      <c r="J115" s="2374"/>
      <c r="K115" s="2374"/>
      <c r="L115" s="2374"/>
      <c r="M115" s="2374"/>
      <c r="N115" s="2374"/>
      <c r="O115" s="2374"/>
      <c r="P115" s="2374"/>
      <c r="Q115" s="2374"/>
      <c r="R115" s="2374"/>
      <c r="S115" s="2374"/>
      <c r="T115" s="2374"/>
      <c r="U115" s="2374"/>
      <c r="V115" s="2374"/>
      <c r="W115" s="2374"/>
      <c r="X115" s="2374"/>
      <c r="Y115" s="2374"/>
      <c r="Z115" s="2374"/>
      <c r="AA115" s="2374"/>
      <c r="AB115" s="2374"/>
      <c r="AC115" s="2374"/>
      <c r="AD115" s="2374"/>
      <c r="AE115" s="2374"/>
      <c r="AF115" s="2374"/>
      <c r="AG115" s="2374"/>
      <c r="AH115" s="2374"/>
      <c r="AI115" s="2374"/>
      <c r="AJ115" s="2374"/>
      <c r="AK115" s="2374"/>
      <c r="AL115" s="2374"/>
      <c r="AM115" s="2374"/>
      <c r="AN115" s="2374"/>
      <c r="AO115" s="2374"/>
      <c r="AP115" s="2374"/>
      <c r="AQ115" s="2374"/>
      <c r="AR115" s="2374"/>
      <c r="AS115" s="2374"/>
      <c r="AT115" s="2374"/>
      <c r="AU115" s="2374"/>
      <c r="AV115" s="2374"/>
      <c r="AW115" s="2374"/>
      <c r="AX115" s="2375"/>
      <c r="AY115" s="1207"/>
      <c r="AZ115" s="1207"/>
      <c r="BA115" s="1207"/>
      <c r="BB115" s="1207"/>
      <c r="BC115" s="1207"/>
      <c r="BD115" s="1207"/>
      <c r="BE115" s="1213"/>
    </row>
    <row r="116" spans="1:57" ht="15.75" customHeight="1">
      <c r="A116" s="1207"/>
      <c r="B116" s="2373"/>
      <c r="C116" s="2374"/>
      <c r="D116" s="2374"/>
      <c r="E116" s="2374"/>
      <c r="F116" s="2374"/>
      <c r="G116" s="2374"/>
      <c r="H116" s="2374"/>
      <c r="I116" s="2374"/>
      <c r="J116" s="2374"/>
      <c r="K116" s="2374"/>
      <c r="L116" s="2374"/>
      <c r="M116" s="2374"/>
      <c r="N116" s="2374"/>
      <c r="O116" s="2374"/>
      <c r="P116" s="2374"/>
      <c r="Q116" s="2374"/>
      <c r="R116" s="2374"/>
      <c r="S116" s="2374"/>
      <c r="T116" s="2374"/>
      <c r="U116" s="2374"/>
      <c r="V116" s="2374"/>
      <c r="W116" s="2374"/>
      <c r="X116" s="2374"/>
      <c r="Y116" s="2374"/>
      <c r="Z116" s="2374"/>
      <c r="AA116" s="2374"/>
      <c r="AB116" s="2374"/>
      <c r="AC116" s="2374"/>
      <c r="AD116" s="2374"/>
      <c r="AE116" s="2374"/>
      <c r="AF116" s="2374"/>
      <c r="AG116" s="2374"/>
      <c r="AH116" s="2374"/>
      <c r="AI116" s="2374"/>
      <c r="AJ116" s="2374"/>
      <c r="AK116" s="2374"/>
      <c r="AL116" s="2374"/>
      <c r="AM116" s="2374"/>
      <c r="AN116" s="2374"/>
      <c r="AO116" s="2374"/>
      <c r="AP116" s="2374"/>
      <c r="AQ116" s="2374"/>
      <c r="AR116" s="2374"/>
      <c r="AS116" s="2374"/>
      <c r="AT116" s="2374"/>
      <c r="AU116" s="2374"/>
      <c r="AV116" s="2374"/>
      <c r="AW116" s="2374"/>
      <c r="AX116" s="2375"/>
      <c r="AY116" s="1207"/>
      <c r="AZ116" s="1207"/>
      <c r="BA116" s="1207"/>
      <c r="BB116" s="1207"/>
      <c r="BC116" s="1207"/>
      <c r="BD116" s="1207"/>
      <c r="BE116" s="1213"/>
    </row>
    <row r="117" spans="1:57" ht="15.75" customHeight="1">
      <c r="A117" s="1207"/>
      <c r="B117" s="2373"/>
      <c r="C117" s="2374"/>
      <c r="D117" s="2374"/>
      <c r="E117" s="2374"/>
      <c r="F117" s="2374"/>
      <c r="G117" s="2374"/>
      <c r="H117" s="2374"/>
      <c r="I117" s="2374"/>
      <c r="J117" s="2374"/>
      <c r="K117" s="2374"/>
      <c r="L117" s="2374"/>
      <c r="M117" s="2374"/>
      <c r="N117" s="2374"/>
      <c r="O117" s="2374"/>
      <c r="P117" s="2374"/>
      <c r="Q117" s="2374"/>
      <c r="R117" s="2374"/>
      <c r="S117" s="2374"/>
      <c r="T117" s="2374"/>
      <c r="U117" s="2374"/>
      <c r="V117" s="2374"/>
      <c r="W117" s="2374"/>
      <c r="X117" s="2374"/>
      <c r="Y117" s="2374"/>
      <c r="Z117" s="2374"/>
      <c r="AA117" s="2374"/>
      <c r="AB117" s="2374"/>
      <c r="AC117" s="2374"/>
      <c r="AD117" s="2374"/>
      <c r="AE117" s="2374"/>
      <c r="AF117" s="2374"/>
      <c r="AG117" s="2374"/>
      <c r="AH117" s="2374"/>
      <c r="AI117" s="2374"/>
      <c r="AJ117" s="2374"/>
      <c r="AK117" s="2374"/>
      <c r="AL117" s="2374"/>
      <c r="AM117" s="2374"/>
      <c r="AN117" s="2374"/>
      <c r="AO117" s="2374"/>
      <c r="AP117" s="2374"/>
      <c r="AQ117" s="2374"/>
      <c r="AR117" s="2374"/>
      <c r="AS117" s="2374"/>
      <c r="AT117" s="2374"/>
      <c r="AU117" s="2374"/>
      <c r="AV117" s="2374"/>
      <c r="AW117" s="2374"/>
      <c r="AX117" s="2375"/>
      <c r="AY117" s="1207"/>
      <c r="AZ117" s="1207"/>
      <c r="BA117" s="1207"/>
      <c r="BB117" s="1207"/>
      <c r="BC117" s="1207"/>
      <c r="BD117" s="1207"/>
      <c r="BE117" s="1213"/>
    </row>
    <row r="118" spans="1:57" ht="15.75" customHeight="1">
      <c r="A118" s="1207"/>
      <c r="B118" s="2373"/>
      <c r="C118" s="2374"/>
      <c r="D118" s="2374"/>
      <c r="E118" s="2374"/>
      <c r="F118" s="2374"/>
      <c r="G118" s="2374"/>
      <c r="H118" s="2374"/>
      <c r="I118" s="2374"/>
      <c r="J118" s="2374"/>
      <c r="K118" s="2374"/>
      <c r="L118" s="2374"/>
      <c r="M118" s="2374"/>
      <c r="N118" s="2374"/>
      <c r="O118" s="2374"/>
      <c r="P118" s="2374"/>
      <c r="Q118" s="2374"/>
      <c r="R118" s="2374"/>
      <c r="S118" s="2374"/>
      <c r="T118" s="2374"/>
      <c r="U118" s="2374"/>
      <c r="V118" s="2374"/>
      <c r="W118" s="2374"/>
      <c r="X118" s="2374"/>
      <c r="Y118" s="2374"/>
      <c r="Z118" s="2374"/>
      <c r="AA118" s="2374"/>
      <c r="AB118" s="2374"/>
      <c r="AC118" s="2374"/>
      <c r="AD118" s="2374"/>
      <c r="AE118" s="2374"/>
      <c r="AF118" s="2374"/>
      <c r="AG118" s="2374"/>
      <c r="AH118" s="2374"/>
      <c r="AI118" s="2374"/>
      <c r="AJ118" s="2374"/>
      <c r="AK118" s="2374"/>
      <c r="AL118" s="2374"/>
      <c r="AM118" s="2374"/>
      <c r="AN118" s="2374"/>
      <c r="AO118" s="2374"/>
      <c r="AP118" s="2374"/>
      <c r="AQ118" s="2374"/>
      <c r="AR118" s="2374"/>
      <c r="AS118" s="2374"/>
      <c r="AT118" s="2374"/>
      <c r="AU118" s="2374"/>
      <c r="AV118" s="2374"/>
      <c r="AW118" s="2374"/>
      <c r="AX118" s="2375"/>
      <c r="AY118" s="1207"/>
      <c r="AZ118" s="1207"/>
      <c r="BA118" s="1207"/>
      <c r="BB118" s="1207"/>
      <c r="BC118" s="1207"/>
      <c r="BD118" s="1207"/>
      <c r="BE118" s="1213"/>
    </row>
    <row r="119" spans="1:57" ht="15.75" customHeight="1">
      <c r="A119" s="1207"/>
      <c r="B119" s="2373"/>
      <c r="C119" s="2374"/>
      <c r="D119" s="2374"/>
      <c r="E119" s="2374"/>
      <c r="F119" s="2374"/>
      <c r="G119" s="2374"/>
      <c r="H119" s="2374"/>
      <c r="I119" s="2374"/>
      <c r="J119" s="2374"/>
      <c r="K119" s="2374"/>
      <c r="L119" s="2374"/>
      <c r="M119" s="2374"/>
      <c r="N119" s="2374"/>
      <c r="O119" s="2374"/>
      <c r="P119" s="2374"/>
      <c r="Q119" s="2374"/>
      <c r="R119" s="2374"/>
      <c r="S119" s="2374"/>
      <c r="T119" s="2374"/>
      <c r="U119" s="2374"/>
      <c r="V119" s="2374"/>
      <c r="W119" s="2374"/>
      <c r="X119" s="2374"/>
      <c r="Y119" s="2374"/>
      <c r="Z119" s="2374"/>
      <c r="AA119" s="2374"/>
      <c r="AB119" s="2374"/>
      <c r="AC119" s="2374"/>
      <c r="AD119" s="2374"/>
      <c r="AE119" s="2374"/>
      <c r="AF119" s="2374"/>
      <c r="AG119" s="2374"/>
      <c r="AH119" s="2374"/>
      <c r="AI119" s="2374"/>
      <c r="AJ119" s="2374"/>
      <c r="AK119" s="2374"/>
      <c r="AL119" s="2374"/>
      <c r="AM119" s="2374"/>
      <c r="AN119" s="2374"/>
      <c r="AO119" s="2374"/>
      <c r="AP119" s="2374"/>
      <c r="AQ119" s="2374"/>
      <c r="AR119" s="2374"/>
      <c r="AS119" s="2374"/>
      <c r="AT119" s="2374"/>
      <c r="AU119" s="2374"/>
      <c r="AV119" s="2374"/>
      <c r="AW119" s="2374"/>
      <c r="AX119" s="2375"/>
      <c r="AY119" s="1207"/>
      <c r="AZ119" s="1207"/>
      <c r="BA119" s="1207"/>
      <c r="BB119" s="1207"/>
      <c r="BC119" s="1207"/>
      <c r="BD119" s="1207"/>
      <c r="BE119" s="1213"/>
    </row>
    <row r="120" spans="1:57" ht="15.75" customHeight="1">
      <c r="A120" s="1207"/>
      <c r="B120" s="2373"/>
      <c r="C120" s="2374"/>
      <c r="D120" s="2374"/>
      <c r="E120" s="2374"/>
      <c r="F120" s="2374"/>
      <c r="G120" s="2374"/>
      <c r="H120" s="2374"/>
      <c r="I120" s="2374"/>
      <c r="J120" s="2374"/>
      <c r="K120" s="2374"/>
      <c r="L120" s="2374"/>
      <c r="M120" s="2374"/>
      <c r="N120" s="2374"/>
      <c r="O120" s="2374"/>
      <c r="P120" s="2374"/>
      <c r="Q120" s="2374"/>
      <c r="R120" s="2374"/>
      <c r="S120" s="2374"/>
      <c r="T120" s="2374"/>
      <c r="U120" s="2374"/>
      <c r="V120" s="2374"/>
      <c r="W120" s="2374"/>
      <c r="X120" s="2374"/>
      <c r="Y120" s="2374"/>
      <c r="Z120" s="2374"/>
      <c r="AA120" s="2374"/>
      <c r="AB120" s="2374"/>
      <c r="AC120" s="2374"/>
      <c r="AD120" s="2374"/>
      <c r="AE120" s="2374"/>
      <c r="AF120" s="2374"/>
      <c r="AG120" s="2374"/>
      <c r="AH120" s="2374"/>
      <c r="AI120" s="2374"/>
      <c r="AJ120" s="2374"/>
      <c r="AK120" s="2374"/>
      <c r="AL120" s="2374"/>
      <c r="AM120" s="2374"/>
      <c r="AN120" s="2374"/>
      <c r="AO120" s="2374"/>
      <c r="AP120" s="2374"/>
      <c r="AQ120" s="2374"/>
      <c r="AR120" s="2374"/>
      <c r="AS120" s="2374"/>
      <c r="AT120" s="2374"/>
      <c r="AU120" s="2374"/>
      <c r="AV120" s="2374"/>
      <c r="AW120" s="2374"/>
      <c r="AX120" s="2375"/>
      <c r="AY120" s="1207"/>
      <c r="AZ120" s="1207"/>
      <c r="BA120" s="1207"/>
      <c r="BB120" s="1207"/>
      <c r="BC120" s="1207"/>
      <c r="BD120" s="1207"/>
      <c r="BE120" s="1213"/>
    </row>
    <row r="121" spans="1:57" ht="15.75" customHeight="1" thickBot="1">
      <c r="A121" s="1207"/>
      <c r="B121" s="2376"/>
      <c r="C121" s="2377"/>
      <c r="D121" s="2377"/>
      <c r="E121" s="2377"/>
      <c r="F121" s="2377"/>
      <c r="G121" s="2377"/>
      <c r="H121" s="2377"/>
      <c r="I121" s="2377"/>
      <c r="J121" s="2377"/>
      <c r="K121" s="2377"/>
      <c r="L121" s="2377"/>
      <c r="M121" s="2377"/>
      <c r="N121" s="2377"/>
      <c r="O121" s="2377"/>
      <c r="P121" s="2377"/>
      <c r="Q121" s="2377"/>
      <c r="R121" s="2377"/>
      <c r="S121" s="2377"/>
      <c r="T121" s="2377"/>
      <c r="U121" s="2377"/>
      <c r="V121" s="2377"/>
      <c r="W121" s="2377"/>
      <c r="X121" s="2377"/>
      <c r="Y121" s="2377"/>
      <c r="Z121" s="2377"/>
      <c r="AA121" s="2377"/>
      <c r="AB121" s="2377"/>
      <c r="AC121" s="2377"/>
      <c r="AD121" s="2377"/>
      <c r="AE121" s="2377"/>
      <c r="AF121" s="2377"/>
      <c r="AG121" s="2377"/>
      <c r="AH121" s="2377"/>
      <c r="AI121" s="2377"/>
      <c r="AJ121" s="2377"/>
      <c r="AK121" s="2377"/>
      <c r="AL121" s="2377"/>
      <c r="AM121" s="2377"/>
      <c r="AN121" s="2377"/>
      <c r="AO121" s="2377"/>
      <c r="AP121" s="2377"/>
      <c r="AQ121" s="2377"/>
      <c r="AR121" s="2377"/>
      <c r="AS121" s="2377"/>
      <c r="AT121" s="2377"/>
      <c r="AU121" s="2377"/>
      <c r="AV121" s="2377"/>
      <c r="AW121" s="2377"/>
      <c r="AX121" s="237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5" t="s">
        <v>1909</v>
      </c>
      <c r="C125" s="2236"/>
      <c r="D125" s="2236"/>
      <c r="E125" s="2236"/>
      <c r="F125" s="2236"/>
      <c r="G125" s="2236"/>
      <c r="H125" s="2236"/>
      <c r="I125" s="2236"/>
      <c r="J125" s="2236"/>
      <c r="K125" s="2236"/>
      <c r="L125" s="2236"/>
      <c r="M125" s="2236"/>
      <c r="N125" s="2236"/>
      <c r="O125" s="2236"/>
      <c r="P125" s="2236"/>
      <c r="Q125" s="2236"/>
      <c r="R125" s="2236"/>
      <c r="S125" s="2236"/>
      <c r="T125" s="2236"/>
      <c r="U125" s="2237"/>
      <c r="V125" s="1207"/>
      <c r="W125" s="1209"/>
      <c r="X125" s="2235" t="s">
        <v>2268</v>
      </c>
      <c r="Y125" s="2236"/>
      <c r="Z125" s="2236"/>
      <c r="AA125" s="2236"/>
      <c r="AB125" s="2236"/>
      <c r="AC125" s="2236"/>
      <c r="AD125" s="2236"/>
      <c r="AE125" s="2236"/>
      <c r="AF125" s="2236"/>
      <c r="AG125" s="2236"/>
      <c r="AH125" s="2236"/>
      <c r="AI125" s="2236"/>
      <c r="AJ125" s="2236"/>
      <c r="AK125" s="2236"/>
      <c r="AL125" s="2236"/>
      <c r="AM125" s="2236"/>
      <c r="AN125" s="2236"/>
      <c r="AO125" s="2236"/>
      <c r="AP125" s="2236"/>
      <c r="AQ125" s="2237"/>
      <c r="AR125" s="1207"/>
      <c r="AS125" s="1207"/>
      <c r="AT125" s="1207"/>
      <c r="AU125" s="1207"/>
      <c r="AV125" s="1207"/>
      <c r="AW125" s="1207"/>
      <c r="AX125" s="1207"/>
      <c r="AY125" s="1207"/>
      <c r="AZ125" s="1207"/>
      <c r="BA125" s="1207"/>
      <c r="BB125" s="1207"/>
      <c r="BC125" s="1207"/>
      <c r="BD125" s="1207"/>
      <c r="BE125" s="1213"/>
    </row>
    <row r="126" spans="1:57" ht="15.75" customHeight="1">
      <c r="A126" s="1207"/>
      <c r="B126" s="2352"/>
      <c r="C126" s="2353"/>
      <c r="D126" s="2353"/>
      <c r="E126" s="2353"/>
      <c r="F126" s="2353"/>
      <c r="G126" s="2353"/>
      <c r="H126" s="2353"/>
      <c r="I126" s="2354" t="s">
        <v>1898</v>
      </c>
      <c r="J126" s="2354"/>
      <c r="K126" s="2354"/>
      <c r="L126" s="2354"/>
      <c r="M126" s="2354"/>
      <c r="N126" s="2354"/>
      <c r="O126" s="2354"/>
      <c r="P126" s="2354" t="s">
        <v>2269</v>
      </c>
      <c r="Q126" s="2354"/>
      <c r="R126" s="2354"/>
      <c r="S126" s="2354"/>
      <c r="T126" s="2354"/>
      <c r="U126" s="2355"/>
      <c r="V126" s="1207"/>
      <c r="W126" s="1207"/>
      <c r="X126" s="2352"/>
      <c r="Y126" s="2353"/>
      <c r="Z126" s="2353"/>
      <c r="AA126" s="2353"/>
      <c r="AB126" s="2353"/>
      <c r="AC126" s="2353"/>
      <c r="AD126" s="2353"/>
      <c r="AE126" s="2354" t="s">
        <v>1898</v>
      </c>
      <c r="AF126" s="2354"/>
      <c r="AG126" s="2354"/>
      <c r="AH126" s="2354"/>
      <c r="AI126" s="2354"/>
      <c r="AJ126" s="2354"/>
      <c r="AK126" s="2354"/>
      <c r="AL126" s="2354" t="s">
        <v>2263</v>
      </c>
      <c r="AM126" s="2354"/>
      <c r="AN126" s="2354"/>
      <c r="AO126" s="2354"/>
      <c r="AP126" s="2354"/>
      <c r="AQ126" s="2355"/>
      <c r="AR126" s="1207"/>
      <c r="AS126" s="1207"/>
      <c r="AT126" s="1207"/>
      <c r="AU126" s="1207"/>
      <c r="AV126" s="1207"/>
      <c r="AW126" s="1207"/>
      <c r="AX126" s="1207"/>
      <c r="AY126" s="1207"/>
      <c r="AZ126" s="1207"/>
      <c r="BA126" s="1207"/>
      <c r="BB126" s="1207"/>
      <c r="BC126" s="1207"/>
      <c r="BD126" s="1207"/>
      <c r="BE126" s="1213"/>
    </row>
    <row r="127" spans="1:57" ht="15.75" customHeight="1">
      <c r="A127" s="1207"/>
      <c r="B127" s="2352"/>
      <c r="C127" s="2353"/>
      <c r="D127" s="2353"/>
      <c r="E127" s="2353"/>
      <c r="F127" s="2353"/>
      <c r="G127" s="2353"/>
      <c r="H127" s="2353"/>
      <c r="I127" s="2354"/>
      <c r="J127" s="2354"/>
      <c r="K127" s="2354"/>
      <c r="L127" s="2354"/>
      <c r="M127" s="2354"/>
      <c r="N127" s="2354"/>
      <c r="O127" s="2354"/>
      <c r="P127" s="2354"/>
      <c r="Q127" s="2354"/>
      <c r="R127" s="2354"/>
      <c r="S127" s="2354"/>
      <c r="T127" s="2354"/>
      <c r="U127" s="2355"/>
      <c r="V127" s="1207"/>
      <c r="W127" s="1207"/>
      <c r="X127" s="2352"/>
      <c r="Y127" s="2353"/>
      <c r="Z127" s="2353"/>
      <c r="AA127" s="2353"/>
      <c r="AB127" s="2353"/>
      <c r="AC127" s="2353"/>
      <c r="AD127" s="2353"/>
      <c r="AE127" s="2354"/>
      <c r="AF127" s="2354"/>
      <c r="AG127" s="2354"/>
      <c r="AH127" s="2354"/>
      <c r="AI127" s="2354"/>
      <c r="AJ127" s="2354"/>
      <c r="AK127" s="2354"/>
      <c r="AL127" s="2354"/>
      <c r="AM127" s="2354"/>
      <c r="AN127" s="2354"/>
      <c r="AO127" s="2354"/>
      <c r="AP127" s="2354"/>
      <c r="AQ127" s="235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63" t="s">
        <v>2251</v>
      </c>
      <c r="C128" s="2364"/>
      <c r="D128" s="2364"/>
      <c r="E128" s="2364"/>
      <c r="F128" s="2364"/>
      <c r="G128" s="2364"/>
      <c r="H128" s="2364"/>
      <c r="I128" s="2339">
        <v>0</v>
      </c>
      <c r="J128" s="2339"/>
      <c r="K128" s="2339"/>
      <c r="L128" s="2339"/>
      <c r="M128" s="2339"/>
      <c r="N128" s="2339"/>
      <c r="O128" s="2339"/>
      <c r="P128" s="2339">
        <v>0</v>
      </c>
      <c r="Q128" s="2339"/>
      <c r="R128" s="2339"/>
      <c r="S128" s="2339"/>
      <c r="T128" s="2339"/>
      <c r="U128" s="2348"/>
      <c r="V128" s="1207"/>
      <c r="W128" s="1207"/>
      <c r="X128" s="2365" t="s">
        <v>2251</v>
      </c>
      <c r="Y128" s="2366"/>
      <c r="Z128" s="2366"/>
      <c r="AA128" s="2366"/>
      <c r="AB128" s="2366"/>
      <c r="AC128" s="2366"/>
      <c r="AD128" s="2366"/>
      <c r="AE128" s="2346">
        <v>0</v>
      </c>
      <c r="AF128" s="2346"/>
      <c r="AG128" s="2346"/>
      <c r="AH128" s="2346"/>
      <c r="AI128" s="2346"/>
      <c r="AJ128" s="2346"/>
      <c r="AK128" s="2346"/>
      <c r="AL128" s="2346">
        <v>0</v>
      </c>
      <c r="AM128" s="2346"/>
      <c r="AN128" s="2346"/>
      <c r="AO128" s="2346"/>
      <c r="AP128" s="2346"/>
      <c r="AQ128" s="234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5" t="s">
        <v>2252</v>
      </c>
      <c r="C129" s="2366"/>
      <c r="D129" s="2366"/>
      <c r="E129" s="2366"/>
      <c r="F129" s="2366"/>
      <c r="G129" s="2366"/>
      <c r="H129" s="2366"/>
      <c r="I129" s="2346">
        <v>0</v>
      </c>
      <c r="J129" s="2346"/>
      <c r="K129" s="2346"/>
      <c r="L129" s="2346"/>
      <c r="M129" s="2346"/>
      <c r="N129" s="2346"/>
      <c r="O129" s="2346"/>
      <c r="P129" s="2346">
        <v>0</v>
      </c>
      <c r="Q129" s="2346"/>
      <c r="R129" s="2346"/>
      <c r="S129" s="2346"/>
      <c r="T129" s="2346"/>
      <c r="U129" s="234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5" t="s">
        <v>2253</v>
      </c>
      <c r="D131" s="2236"/>
      <c r="E131" s="2236"/>
      <c r="F131" s="2236"/>
      <c r="G131" s="2236"/>
      <c r="H131" s="2236"/>
      <c r="I131" s="2236"/>
      <c r="J131" s="2236"/>
      <c r="K131" s="2236"/>
      <c r="L131" s="2236"/>
      <c r="M131" s="2236"/>
      <c r="N131" s="2236"/>
      <c r="O131" s="2236"/>
      <c r="P131" s="2236"/>
      <c r="Q131" s="2236"/>
      <c r="R131" s="2236"/>
      <c r="S131" s="2236"/>
      <c r="T131" s="2236"/>
      <c r="U131" s="2236"/>
      <c r="V131" s="2236"/>
      <c r="W131" s="2236"/>
      <c r="X131" s="2236"/>
      <c r="Y131" s="2236"/>
      <c r="Z131" s="2236"/>
      <c r="AA131" s="2236"/>
      <c r="AB131" s="2236"/>
      <c r="AC131" s="2236"/>
      <c r="AD131" s="2236"/>
      <c r="AE131" s="2236"/>
      <c r="AF131" s="2236"/>
      <c r="AG131" s="223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52" t="s">
        <v>1910</v>
      </c>
      <c r="D132" s="2353"/>
      <c r="E132" s="2353"/>
      <c r="F132" s="2353"/>
      <c r="G132" s="2353"/>
      <c r="H132" s="2353"/>
      <c r="I132" s="2353"/>
      <c r="J132" s="2353"/>
      <c r="K132" s="2353"/>
      <c r="L132" s="2353"/>
      <c r="M132" s="2353"/>
      <c r="N132" s="2353"/>
      <c r="O132" s="2353"/>
      <c r="P132" s="2353"/>
      <c r="Q132" s="2353" t="s">
        <v>1911</v>
      </c>
      <c r="R132" s="2353"/>
      <c r="S132" s="2353"/>
      <c r="T132" s="2243" t="s">
        <v>2254</v>
      </c>
      <c r="U132" s="2243"/>
      <c r="V132" s="2243"/>
      <c r="W132" s="2243"/>
      <c r="X132" s="2243"/>
      <c r="Y132" s="2243"/>
      <c r="Z132" s="2243"/>
      <c r="AA132" s="2243"/>
      <c r="AB132" s="2353" t="s">
        <v>1912</v>
      </c>
      <c r="AC132" s="2353"/>
      <c r="AD132" s="2353"/>
      <c r="AE132" s="2353"/>
      <c r="AF132" s="2353"/>
      <c r="AG132" s="238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9" t="s">
        <v>1913</v>
      </c>
      <c r="D133" s="2380"/>
      <c r="E133" s="2380"/>
      <c r="F133" s="2380"/>
      <c r="G133" s="2380"/>
      <c r="H133" s="2380"/>
      <c r="I133" s="2380"/>
      <c r="J133" s="2380"/>
      <c r="K133" s="2380"/>
      <c r="L133" s="2380"/>
      <c r="M133" s="2380"/>
      <c r="N133" s="2380"/>
      <c r="O133" s="2380"/>
      <c r="P133" s="2380"/>
      <c r="Q133" s="2381">
        <v>55</v>
      </c>
      <c r="R133" s="2381"/>
      <c r="S133" s="2381"/>
      <c r="T133" s="2382"/>
      <c r="U133" s="2382"/>
      <c r="V133" s="2382"/>
      <c r="W133" s="2382"/>
      <c r="X133" s="2382"/>
      <c r="Y133" s="2382"/>
      <c r="Z133" s="2382"/>
      <c r="AA133" s="2382"/>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9" t="s">
        <v>1914</v>
      </c>
      <c r="D134" s="2380"/>
      <c r="E134" s="2380"/>
      <c r="F134" s="2380"/>
      <c r="G134" s="2380"/>
      <c r="H134" s="2380"/>
      <c r="I134" s="2380"/>
      <c r="J134" s="2380"/>
      <c r="K134" s="2380"/>
      <c r="L134" s="2380"/>
      <c r="M134" s="2380"/>
      <c r="N134" s="2380"/>
      <c r="O134" s="2380"/>
      <c r="P134" s="2380"/>
      <c r="Q134" s="2381">
        <v>55</v>
      </c>
      <c r="R134" s="2381"/>
      <c r="S134" s="2381"/>
      <c r="T134" s="2383"/>
      <c r="U134" s="2383"/>
      <c r="V134" s="2383"/>
      <c r="W134" s="2383"/>
      <c r="X134" s="2383"/>
      <c r="Y134" s="2383"/>
      <c r="Z134" s="2383"/>
      <c r="AA134" s="238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9" t="s">
        <v>1915</v>
      </c>
      <c r="D135" s="2380"/>
      <c r="E135" s="2380"/>
      <c r="F135" s="2380"/>
      <c r="G135" s="2380"/>
      <c r="H135" s="2380"/>
      <c r="I135" s="2380"/>
      <c r="J135" s="2380"/>
      <c r="K135" s="2380"/>
      <c r="L135" s="2380"/>
      <c r="M135" s="2380"/>
      <c r="N135" s="2380"/>
      <c r="O135" s="2380"/>
      <c r="P135" s="2380"/>
      <c r="Q135" s="2381">
        <v>55</v>
      </c>
      <c r="R135" s="2381"/>
      <c r="S135" s="2381"/>
      <c r="T135" s="2382"/>
      <c r="U135" s="2382"/>
      <c r="V135" s="2382"/>
      <c r="W135" s="2382"/>
      <c r="X135" s="2382"/>
      <c r="Y135" s="2382"/>
      <c r="Z135" s="2382"/>
      <c r="AA135" s="2382"/>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9" t="s">
        <v>1883</v>
      </c>
      <c r="D136" s="2380"/>
      <c r="E136" s="2380"/>
      <c r="F136" s="2380"/>
      <c r="G136" s="2380"/>
      <c r="H136" s="2380"/>
      <c r="I136" s="2380"/>
      <c r="J136" s="2380"/>
      <c r="K136" s="2380"/>
      <c r="L136" s="2380"/>
      <c r="M136" s="2380"/>
      <c r="N136" s="2380"/>
      <c r="O136" s="2380"/>
      <c r="P136" s="2380"/>
      <c r="Q136" s="2381">
        <v>55</v>
      </c>
      <c r="R136" s="2381"/>
      <c r="S136" s="2381"/>
      <c r="T136" s="2382"/>
      <c r="U136" s="2382"/>
      <c r="V136" s="2382"/>
      <c r="W136" s="2382"/>
      <c r="X136" s="2382"/>
      <c r="Y136" s="2382"/>
      <c r="Z136" s="2382"/>
      <c r="AA136" s="2382"/>
      <c r="AB136" s="2385">
        <v>0</v>
      </c>
      <c r="AC136" s="2385"/>
      <c r="AD136" s="2385"/>
      <c r="AE136" s="2385"/>
      <c r="AF136" s="2385"/>
      <c r="AG136" s="238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9" t="s">
        <v>171</v>
      </c>
      <c r="D137" s="2380"/>
      <c r="E137" s="2380"/>
      <c r="F137" s="2387" t="s">
        <v>1916</v>
      </c>
      <c r="G137" s="2387"/>
      <c r="H137" s="2387"/>
      <c r="I137" s="2387"/>
      <c r="J137" s="2387"/>
      <c r="K137" s="2387"/>
      <c r="L137" s="2387"/>
      <c r="M137" s="2387"/>
      <c r="N137" s="2387"/>
      <c r="O137" s="2387"/>
      <c r="P137" s="2387"/>
      <c r="Q137" s="2381">
        <v>55</v>
      </c>
      <c r="R137" s="2381"/>
      <c r="S137" s="2381"/>
      <c r="T137" s="2383"/>
      <c r="U137" s="2383"/>
      <c r="V137" s="2383"/>
      <c r="W137" s="2383"/>
      <c r="X137" s="2383"/>
      <c r="Y137" s="2383"/>
      <c r="Z137" s="2383"/>
      <c r="AA137" s="2383"/>
      <c r="AB137" s="2385">
        <v>0</v>
      </c>
      <c r="AC137" s="2385"/>
      <c r="AD137" s="2385"/>
      <c r="AE137" s="2385"/>
      <c r="AF137" s="2385"/>
      <c r="AG137" s="238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9" t="s">
        <v>171</v>
      </c>
      <c r="D138" s="2380"/>
      <c r="E138" s="2380"/>
      <c r="F138" s="2387" t="s">
        <v>1916</v>
      </c>
      <c r="G138" s="2387"/>
      <c r="H138" s="2387"/>
      <c r="I138" s="2387"/>
      <c r="J138" s="2387"/>
      <c r="K138" s="2387"/>
      <c r="L138" s="2387"/>
      <c r="M138" s="2387"/>
      <c r="N138" s="2387"/>
      <c r="O138" s="2387"/>
      <c r="P138" s="2387"/>
      <c r="Q138" s="2381">
        <v>55</v>
      </c>
      <c r="R138" s="2381"/>
      <c r="S138" s="2381"/>
      <c r="T138" s="2383"/>
      <c r="U138" s="2383"/>
      <c r="V138" s="2383"/>
      <c r="W138" s="2383"/>
      <c r="X138" s="2383"/>
      <c r="Y138" s="2383"/>
      <c r="Z138" s="2383"/>
      <c r="AA138" s="2383"/>
      <c r="AB138" s="2385">
        <v>0</v>
      </c>
      <c r="AC138" s="2385"/>
      <c r="AD138" s="2385"/>
      <c r="AE138" s="2385"/>
      <c r="AF138" s="2385"/>
      <c r="AG138" s="2386"/>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8" t="s">
        <v>171</v>
      </c>
      <c r="D139" s="2389"/>
      <c r="E139" s="2389"/>
      <c r="F139" s="2390" t="s">
        <v>1916</v>
      </c>
      <c r="G139" s="2390"/>
      <c r="H139" s="2390"/>
      <c r="I139" s="2390"/>
      <c r="J139" s="2390"/>
      <c r="K139" s="2390"/>
      <c r="L139" s="2390"/>
      <c r="M139" s="2390"/>
      <c r="N139" s="2390"/>
      <c r="O139" s="2390"/>
      <c r="P139" s="2390"/>
      <c r="Q139" s="2391">
        <v>55</v>
      </c>
      <c r="R139" s="2391"/>
      <c r="S139" s="2391"/>
      <c r="T139" s="2392"/>
      <c r="U139" s="2392"/>
      <c r="V139" s="2392"/>
      <c r="W139" s="2392"/>
      <c r="X139" s="2392"/>
      <c r="Y139" s="2392"/>
      <c r="Z139" s="2392"/>
      <c r="AA139" s="2392"/>
      <c r="AB139" s="2393">
        <v>0</v>
      </c>
      <c r="AC139" s="2393"/>
      <c r="AD139" s="2393"/>
      <c r="AE139" s="2393"/>
      <c r="AF139" s="2393"/>
      <c r="AG139" s="239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12" t="s">
        <v>1917</v>
      </c>
      <c r="D141" s="2313"/>
      <c r="E141" s="2313"/>
      <c r="F141" s="2313"/>
      <c r="G141" s="2313"/>
      <c r="H141" s="2313"/>
      <c r="I141" s="2313"/>
      <c r="J141" s="2313"/>
      <c r="K141" s="2313"/>
      <c r="L141" s="2313"/>
      <c r="M141" s="2313"/>
      <c r="N141" s="2349"/>
      <c r="O141" s="1207"/>
      <c r="P141" s="2367" t="s">
        <v>1918</v>
      </c>
      <c r="Q141" s="2368"/>
      <c r="R141" s="2368"/>
      <c r="S141" s="2368"/>
      <c r="T141" s="2368"/>
      <c r="U141" s="2368"/>
      <c r="V141" s="2368"/>
      <c r="W141" s="2368"/>
      <c r="X141" s="2368"/>
      <c r="Y141" s="2368"/>
      <c r="Z141" s="2368"/>
      <c r="AA141" s="2368"/>
      <c r="AB141" s="2368"/>
      <c r="AC141" s="2368"/>
      <c r="AD141" s="2368"/>
      <c r="AE141" s="2368"/>
      <c r="AF141" s="2368"/>
      <c r="AG141" s="2368"/>
      <c r="AH141" s="2368"/>
      <c r="AI141" s="2368"/>
      <c r="AJ141" s="2368"/>
      <c r="AK141" s="2368"/>
      <c r="AL141" s="2368"/>
      <c r="AM141" s="2368"/>
      <c r="AN141" s="2368"/>
      <c r="AO141" s="239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52" t="s">
        <v>1919</v>
      </c>
      <c r="D142" s="2353"/>
      <c r="E142" s="2353"/>
      <c r="F142" s="2353"/>
      <c r="G142" s="2353"/>
      <c r="H142" s="2353"/>
      <c r="I142" s="2353" t="s">
        <v>1920</v>
      </c>
      <c r="J142" s="2353"/>
      <c r="K142" s="2353"/>
      <c r="L142" s="2353"/>
      <c r="M142" s="2353"/>
      <c r="N142" s="2384"/>
      <c r="O142" s="1207"/>
      <c r="P142" s="2316" t="s">
        <v>2262</v>
      </c>
      <c r="Q142" s="2317"/>
      <c r="R142" s="2317"/>
      <c r="S142" s="2317"/>
      <c r="T142" s="2317"/>
      <c r="U142" s="2317"/>
      <c r="V142" s="2317"/>
      <c r="W142" s="2317"/>
      <c r="X142" s="2317"/>
      <c r="Y142" s="2317"/>
      <c r="Z142" s="2317"/>
      <c r="AA142" s="2317"/>
      <c r="AB142" s="2317"/>
      <c r="AC142" s="2317"/>
      <c r="AD142" s="2317"/>
      <c r="AE142" s="2317"/>
      <c r="AF142" s="2317"/>
      <c r="AG142" s="2317"/>
      <c r="AH142" s="2317"/>
      <c r="AI142" s="2317"/>
      <c r="AJ142" s="2317"/>
      <c r="AK142" s="2317"/>
      <c r="AL142" s="2317"/>
      <c r="AM142" s="2317"/>
      <c r="AN142" s="2317"/>
      <c r="AO142" s="231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22"/>
      <c r="D143" s="2267"/>
      <c r="E143" s="2267"/>
      <c r="F143" s="2267"/>
      <c r="G143" s="2267"/>
      <c r="H143" s="2267"/>
      <c r="I143" s="2382"/>
      <c r="J143" s="2382"/>
      <c r="K143" s="2382"/>
      <c r="L143" s="2382"/>
      <c r="M143" s="2382"/>
      <c r="N143" s="2395"/>
      <c r="O143" s="1207"/>
      <c r="P143" s="2316"/>
      <c r="Q143" s="2317"/>
      <c r="R143" s="2317"/>
      <c r="S143" s="2317"/>
      <c r="T143" s="2317"/>
      <c r="U143" s="2317"/>
      <c r="V143" s="2317"/>
      <c r="W143" s="2317"/>
      <c r="X143" s="2317"/>
      <c r="Y143" s="2317"/>
      <c r="Z143" s="2317"/>
      <c r="AA143" s="2317"/>
      <c r="AB143" s="2317"/>
      <c r="AC143" s="2317"/>
      <c r="AD143" s="2317"/>
      <c r="AE143" s="2317"/>
      <c r="AF143" s="2317"/>
      <c r="AG143" s="2317"/>
      <c r="AH143" s="2317"/>
      <c r="AI143" s="2317"/>
      <c r="AJ143" s="2317"/>
      <c r="AK143" s="2317"/>
      <c r="AL143" s="2317"/>
      <c r="AM143" s="2317"/>
      <c r="AN143" s="2317"/>
      <c r="AO143" s="231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22"/>
      <c r="D144" s="2267"/>
      <c r="E144" s="2267"/>
      <c r="F144" s="2267"/>
      <c r="G144" s="2267"/>
      <c r="H144" s="2267"/>
      <c r="I144" s="2382"/>
      <c r="J144" s="2382"/>
      <c r="K144" s="2382"/>
      <c r="L144" s="2382"/>
      <c r="M144" s="2382"/>
      <c r="N144" s="2395"/>
      <c r="O144" s="1207"/>
      <c r="P144" s="2316"/>
      <c r="Q144" s="2317"/>
      <c r="R144" s="2317"/>
      <c r="S144" s="2317"/>
      <c r="T144" s="2317"/>
      <c r="U144" s="2317"/>
      <c r="V144" s="2317"/>
      <c r="W144" s="2317"/>
      <c r="X144" s="2317"/>
      <c r="Y144" s="2317"/>
      <c r="Z144" s="2317"/>
      <c r="AA144" s="2317"/>
      <c r="AB144" s="2317"/>
      <c r="AC144" s="2317"/>
      <c r="AD144" s="2317"/>
      <c r="AE144" s="2317"/>
      <c r="AF144" s="2317"/>
      <c r="AG144" s="2317"/>
      <c r="AH144" s="2317"/>
      <c r="AI144" s="2317"/>
      <c r="AJ144" s="2317"/>
      <c r="AK144" s="2317"/>
      <c r="AL144" s="2317"/>
      <c r="AM144" s="2317"/>
      <c r="AN144" s="2317"/>
      <c r="AO144" s="231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22"/>
      <c r="D145" s="2267"/>
      <c r="E145" s="2267"/>
      <c r="F145" s="2267"/>
      <c r="G145" s="2267"/>
      <c r="H145" s="2267"/>
      <c r="I145" s="2382"/>
      <c r="J145" s="2382"/>
      <c r="K145" s="2382"/>
      <c r="L145" s="2382"/>
      <c r="M145" s="2382"/>
      <c r="N145" s="2395"/>
      <c r="O145" s="1207"/>
      <c r="P145" s="2316"/>
      <c r="Q145" s="2317"/>
      <c r="R145" s="2317"/>
      <c r="S145" s="2317"/>
      <c r="T145" s="2317"/>
      <c r="U145" s="2317"/>
      <c r="V145" s="2317"/>
      <c r="W145" s="2317"/>
      <c r="X145" s="2317"/>
      <c r="Y145" s="2317"/>
      <c r="Z145" s="2317"/>
      <c r="AA145" s="2317"/>
      <c r="AB145" s="2317"/>
      <c r="AC145" s="2317"/>
      <c r="AD145" s="2317"/>
      <c r="AE145" s="2317"/>
      <c r="AF145" s="2317"/>
      <c r="AG145" s="2317"/>
      <c r="AH145" s="2317"/>
      <c r="AI145" s="2317"/>
      <c r="AJ145" s="2317"/>
      <c r="AK145" s="2317"/>
      <c r="AL145" s="2317"/>
      <c r="AM145" s="2317"/>
      <c r="AN145" s="2317"/>
      <c r="AO145" s="231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22"/>
      <c r="D146" s="2267"/>
      <c r="E146" s="2267"/>
      <c r="F146" s="2267"/>
      <c r="G146" s="2267"/>
      <c r="H146" s="2267"/>
      <c r="I146" s="2382"/>
      <c r="J146" s="2382"/>
      <c r="K146" s="2382"/>
      <c r="L146" s="2382"/>
      <c r="M146" s="2382"/>
      <c r="N146" s="2395"/>
      <c r="O146" s="1207"/>
      <c r="P146" s="2316"/>
      <c r="Q146" s="2317"/>
      <c r="R146" s="2317"/>
      <c r="S146" s="2317"/>
      <c r="T146" s="2317"/>
      <c r="U146" s="2317"/>
      <c r="V146" s="2317"/>
      <c r="W146" s="2317"/>
      <c r="X146" s="2317"/>
      <c r="Y146" s="2317"/>
      <c r="Z146" s="2317"/>
      <c r="AA146" s="2317"/>
      <c r="AB146" s="2317"/>
      <c r="AC146" s="2317"/>
      <c r="AD146" s="2317"/>
      <c r="AE146" s="2317"/>
      <c r="AF146" s="2317"/>
      <c r="AG146" s="2317"/>
      <c r="AH146" s="2317"/>
      <c r="AI146" s="2317"/>
      <c r="AJ146" s="2317"/>
      <c r="AK146" s="2317"/>
      <c r="AL146" s="2317"/>
      <c r="AM146" s="2317"/>
      <c r="AN146" s="2317"/>
      <c r="AO146" s="231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22"/>
      <c r="D147" s="2267"/>
      <c r="E147" s="2267"/>
      <c r="F147" s="2267"/>
      <c r="G147" s="2267"/>
      <c r="H147" s="2267"/>
      <c r="I147" s="2382"/>
      <c r="J147" s="2382"/>
      <c r="K147" s="2382"/>
      <c r="L147" s="2382"/>
      <c r="M147" s="2382"/>
      <c r="N147" s="2395"/>
      <c r="O147" s="1207"/>
      <c r="P147" s="2316"/>
      <c r="Q147" s="2317"/>
      <c r="R147" s="2317"/>
      <c r="S147" s="2317"/>
      <c r="T147" s="2317"/>
      <c r="U147" s="2317"/>
      <c r="V147" s="2317"/>
      <c r="W147" s="2317"/>
      <c r="X147" s="2317"/>
      <c r="Y147" s="2317"/>
      <c r="Z147" s="2317"/>
      <c r="AA147" s="2317"/>
      <c r="AB147" s="2317"/>
      <c r="AC147" s="2317"/>
      <c r="AD147" s="2317"/>
      <c r="AE147" s="2317"/>
      <c r="AF147" s="2317"/>
      <c r="AG147" s="2317"/>
      <c r="AH147" s="2317"/>
      <c r="AI147" s="2317"/>
      <c r="AJ147" s="2317"/>
      <c r="AK147" s="2317"/>
      <c r="AL147" s="2317"/>
      <c r="AM147" s="2317"/>
      <c r="AN147" s="2317"/>
      <c r="AO147" s="231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22"/>
      <c r="D148" s="2267"/>
      <c r="E148" s="2267"/>
      <c r="F148" s="2267"/>
      <c r="G148" s="2267"/>
      <c r="H148" s="2267"/>
      <c r="I148" s="2382"/>
      <c r="J148" s="2382"/>
      <c r="K148" s="2382"/>
      <c r="L148" s="2382"/>
      <c r="M148" s="2382"/>
      <c r="N148" s="2395"/>
      <c r="O148" s="1207"/>
      <c r="P148" s="2316"/>
      <c r="Q148" s="2317"/>
      <c r="R148" s="2317"/>
      <c r="S148" s="2317"/>
      <c r="T148" s="2317"/>
      <c r="U148" s="2317"/>
      <c r="V148" s="2317"/>
      <c r="W148" s="2317"/>
      <c r="X148" s="2317"/>
      <c r="Y148" s="2317"/>
      <c r="Z148" s="2317"/>
      <c r="AA148" s="2317"/>
      <c r="AB148" s="2317"/>
      <c r="AC148" s="2317"/>
      <c r="AD148" s="2317"/>
      <c r="AE148" s="2317"/>
      <c r="AF148" s="2317"/>
      <c r="AG148" s="2317"/>
      <c r="AH148" s="2317"/>
      <c r="AI148" s="2317"/>
      <c r="AJ148" s="2317"/>
      <c r="AK148" s="2317"/>
      <c r="AL148" s="2317"/>
      <c r="AM148" s="2317"/>
      <c r="AN148" s="2317"/>
      <c r="AO148" s="231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04"/>
      <c r="D149" s="2405"/>
      <c r="E149" s="2405"/>
      <c r="F149" s="2405"/>
      <c r="G149" s="2405"/>
      <c r="H149" s="2405"/>
      <c r="I149" s="2406"/>
      <c r="J149" s="2406"/>
      <c r="K149" s="2406"/>
      <c r="L149" s="2406"/>
      <c r="M149" s="2406"/>
      <c r="N149" s="2407"/>
      <c r="O149" s="1207"/>
      <c r="P149" s="2319"/>
      <c r="Q149" s="2320"/>
      <c r="R149" s="2320"/>
      <c r="S149" s="2320"/>
      <c r="T149" s="2320"/>
      <c r="U149" s="2320"/>
      <c r="V149" s="2320"/>
      <c r="W149" s="2320"/>
      <c r="X149" s="2320"/>
      <c r="Y149" s="2320"/>
      <c r="Z149" s="2320"/>
      <c r="AA149" s="2320"/>
      <c r="AB149" s="2320"/>
      <c r="AC149" s="2320"/>
      <c r="AD149" s="2320"/>
      <c r="AE149" s="2320"/>
      <c r="AF149" s="2320"/>
      <c r="AG149" s="2320"/>
      <c r="AH149" s="2320"/>
      <c r="AI149" s="2320"/>
      <c r="AJ149" s="2320"/>
      <c r="AK149" s="2320"/>
      <c r="AL149" s="2320"/>
      <c r="AM149" s="2320"/>
      <c r="AN149" s="2320"/>
      <c r="AO149" s="232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8" t="s">
        <v>2595</v>
      </c>
      <c r="D151" s="2408"/>
      <c r="E151" s="2408"/>
      <c r="F151" s="2408"/>
      <c r="G151" s="2408"/>
      <c r="H151" s="2408"/>
      <c r="I151" s="2408"/>
      <c r="J151" s="2408"/>
      <c r="K151" s="2408"/>
      <c r="L151" s="2408"/>
      <c r="M151" s="2408"/>
      <c r="N151" s="2408"/>
      <c r="O151" s="2408"/>
      <c r="P151" s="2408"/>
      <c r="Q151" s="2408"/>
      <c r="R151" s="2408"/>
      <c r="S151" s="2408"/>
      <c r="T151" s="2408"/>
      <c r="U151" s="2408"/>
      <c r="V151" s="2408"/>
      <c r="W151" s="2408"/>
      <c r="X151" s="2408"/>
      <c r="Y151" s="2408"/>
      <c r="Z151" s="2408"/>
      <c r="AA151" s="2408"/>
      <c r="AB151" s="2408"/>
      <c r="AC151" s="2408"/>
      <c r="AD151" s="2408"/>
      <c r="AE151" s="2408"/>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8"/>
      <c r="D152" s="2408"/>
      <c r="E152" s="2408"/>
      <c r="F152" s="2408"/>
      <c r="G152" s="2408"/>
      <c r="H152" s="2408"/>
      <c r="I152" s="2408"/>
      <c r="J152" s="2408"/>
      <c r="K152" s="2408"/>
      <c r="L152" s="2408"/>
      <c r="M152" s="2408"/>
      <c r="N152" s="2408"/>
      <c r="O152" s="2408"/>
      <c r="P152" s="2408"/>
      <c r="Q152" s="2408"/>
      <c r="R152" s="2408"/>
      <c r="S152" s="2408"/>
      <c r="T152" s="2408"/>
      <c r="U152" s="2408"/>
      <c r="V152" s="2408"/>
      <c r="W152" s="2408"/>
      <c r="X152" s="2408"/>
      <c r="Y152" s="2408"/>
      <c r="Z152" s="2408"/>
      <c r="AA152" s="2408"/>
      <c r="AB152" s="2408"/>
      <c r="AC152" s="2408"/>
      <c r="AD152" s="2408"/>
      <c r="AE152" s="2408"/>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12" t="s">
        <v>1910</v>
      </c>
      <c r="D153" s="2313"/>
      <c r="E153" s="2313"/>
      <c r="F153" s="2313"/>
      <c r="G153" s="2313"/>
      <c r="H153" s="2313"/>
      <c r="I153" s="2313"/>
      <c r="J153" s="2313"/>
      <c r="K153" s="2313"/>
      <c r="L153" s="2313"/>
      <c r="M153" s="2313"/>
      <c r="N153" s="2313" t="s">
        <v>1921</v>
      </c>
      <c r="O153" s="2313"/>
      <c r="P153" s="2313"/>
      <c r="Q153" s="2313"/>
      <c r="R153" s="2313"/>
      <c r="S153" s="2313"/>
      <c r="T153" s="2313"/>
      <c r="U153" s="2236" t="s">
        <v>1910</v>
      </c>
      <c r="V153" s="2236"/>
      <c r="W153" s="2236"/>
      <c r="X153" s="2236"/>
      <c r="Y153" s="2236"/>
      <c r="Z153" s="2236"/>
      <c r="AA153" s="2236"/>
      <c r="AB153" s="2236"/>
      <c r="AC153" s="2236"/>
      <c r="AD153" s="2236"/>
      <c r="AE153" s="2237"/>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7" t="s">
        <v>2596</v>
      </c>
      <c r="D154" s="2398"/>
      <c r="E154" s="2398"/>
      <c r="F154" s="2398"/>
      <c r="G154" s="2398"/>
      <c r="H154" s="2398"/>
      <c r="I154" s="2398"/>
      <c r="J154" s="2398"/>
      <c r="K154" s="2398"/>
      <c r="L154" s="2398"/>
      <c r="M154" s="2398"/>
      <c r="N154" s="2399">
        <f>'Sources and Uses Budget'!B105</f>
        <v>44036817</v>
      </c>
      <c r="O154" s="2399"/>
      <c r="P154" s="2399"/>
      <c r="Q154" s="2399"/>
      <c r="R154" s="2399"/>
      <c r="S154" s="2399"/>
      <c r="T154" s="2399"/>
      <c r="U154" s="2400"/>
      <c r="V154" s="2400"/>
      <c r="W154" s="2400"/>
      <c r="X154" s="2400"/>
      <c r="Y154" s="2400"/>
      <c r="Z154" s="2400"/>
      <c r="AA154" s="2400"/>
      <c r="AB154" s="2400"/>
      <c r="AC154" s="2400"/>
      <c r="AD154" s="2400"/>
      <c r="AE154" s="2401"/>
      <c r="AF154" s="1207"/>
      <c r="AG154" s="1207"/>
      <c r="AH154" s="1233" t="s">
        <v>2597</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7" t="s">
        <v>2598</v>
      </c>
      <c r="D155" s="2398"/>
      <c r="E155" s="2398"/>
      <c r="F155" s="2398"/>
      <c r="G155" s="2398"/>
      <c r="H155" s="2398"/>
      <c r="I155" s="2398"/>
      <c r="J155" s="2398"/>
      <c r="K155" s="2398"/>
      <c r="L155" s="2398"/>
      <c r="M155" s="2398"/>
      <c r="N155" s="2399">
        <f>N154/J29</f>
        <v>629097.38571428566</v>
      </c>
      <c r="O155" s="2399"/>
      <c r="P155" s="2399"/>
      <c r="Q155" s="2399"/>
      <c r="R155" s="2399"/>
      <c r="S155" s="2399"/>
      <c r="T155" s="239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402" t="s">
        <v>2599</v>
      </c>
      <c r="D156" s="2403"/>
      <c r="E156" s="2403"/>
      <c r="F156" s="2403"/>
      <c r="G156" s="2403"/>
      <c r="H156" s="2403"/>
      <c r="I156" s="2403"/>
      <c r="J156" s="2403"/>
      <c r="K156" s="2403"/>
      <c r="L156" s="2403"/>
      <c r="M156" s="2403"/>
      <c r="N156" s="2306">
        <v>0</v>
      </c>
      <c r="O156" s="2306"/>
      <c r="P156" s="2306"/>
      <c r="Q156" s="2306"/>
      <c r="R156" s="2306"/>
      <c r="S156" s="2306"/>
      <c r="T156" s="2306"/>
      <c r="U156" s="2279"/>
      <c r="V156" s="2279"/>
      <c r="W156" s="2279"/>
      <c r="X156" s="2279"/>
      <c r="Y156" s="2279"/>
      <c r="Z156" s="2279"/>
      <c r="AA156" s="2279"/>
      <c r="AB156" s="2279"/>
      <c r="AC156" s="2279"/>
      <c r="AD156" s="2279"/>
      <c r="AE156" s="2280"/>
      <c r="AF156" s="1207"/>
      <c r="AG156" s="1207"/>
      <c r="AH156" s="2409" t="s">
        <v>2270</v>
      </c>
      <c r="AI156" s="2410"/>
      <c r="AJ156" s="2410"/>
      <c r="AK156" s="2410"/>
      <c r="AL156" s="2410"/>
      <c r="AM156" s="2410"/>
      <c r="AN156" s="2410"/>
      <c r="AO156" s="2410"/>
      <c r="AP156" s="2410"/>
      <c r="AQ156" s="2410"/>
      <c r="AR156" s="2410"/>
      <c r="AS156" s="2411">
        <f>SUM(AS152:AW154)</f>
        <v>0</v>
      </c>
      <c r="AT156" s="2411"/>
      <c r="AU156" s="2411"/>
      <c r="AV156" s="2411"/>
      <c r="AW156" s="2412"/>
      <c r="AX156" s="1207"/>
      <c r="AY156" s="1207"/>
      <c r="AZ156" s="1207"/>
      <c r="BA156" s="1207"/>
      <c r="BB156" s="1207"/>
      <c r="BC156" s="1207"/>
      <c r="BD156" s="1207"/>
      <c r="BE156" s="1213"/>
    </row>
    <row r="157" spans="1:57" ht="15.75" customHeight="1" thickBot="1">
      <c r="A157" s="1207"/>
      <c r="B157" s="1207"/>
      <c r="C157" s="2397" t="s">
        <v>2600</v>
      </c>
      <c r="D157" s="2398"/>
      <c r="E157" s="2398"/>
      <c r="F157" s="2398"/>
      <c r="G157" s="2398"/>
      <c r="H157" s="2398"/>
      <c r="I157" s="2398"/>
      <c r="J157" s="2398"/>
      <c r="K157" s="2398"/>
      <c r="L157" s="2398"/>
      <c r="M157" s="2398"/>
      <c r="N157" s="2413">
        <f>SUM('Sources and Uses Budget'!B85:B86)</f>
        <v>1900000</v>
      </c>
      <c r="O157" s="2413"/>
      <c r="P157" s="2413"/>
      <c r="Q157" s="2413"/>
      <c r="R157" s="2413"/>
      <c r="S157" s="2413"/>
      <c r="T157" s="2413"/>
      <c r="U157" s="2279"/>
      <c r="V157" s="2279"/>
      <c r="W157" s="2279"/>
      <c r="X157" s="2279"/>
      <c r="Y157" s="2279"/>
      <c r="Z157" s="2279"/>
      <c r="AA157" s="2279"/>
      <c r="AB157" s="2279"/>
      <c r="AC157" s="2279"/>
      <c r="AD157" s="2279"/>
      <c r="AE157" s="2280"/>
      <c r="AF157" s="1207"/>
      <c r="AG157" s="1207"/>
      <c r="AH157" s="1247" t="s">
        <v>2601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7" t="s">
        <v>2602</v>
      </c>
      <c r="D158" s="2398"/>
      <c r="E158" s="2398"/>
      <c r="F158" s="2398"/>
      <c r="G158" s="2398"/>
      <c r="H158" s="2398"/>
      <c r="I158" s="2398"/>
      <c r="J158" s="2398"/>
      <c r="K158" s="2398"/>
      <c r="L158" s="2398"/>
      <c r="M158" s="2398"/>
      <c r="N158" s="2413">
        <f>'Sources and Uses Budget'!B8</f>
        <v>1400000</v>
      </c>
      <c r="O158" s="2413"/>
      <c r="P158" s="2413"/>
      <c r="Q158" s="2413"/>
      <c r="R158" s="2413"/>
      <c r="S158" s="2413"/>
      <c r="T158" s="2413"/>
      <c r="U158" s="2279"/>
      <c r="V158" s="2279"/>
      <c r="W158" s="2279"/>
      <c r="X158" s="2279"/>
      <c r="Y158" s="2279"/>
      <c r="Z158" s="2279"/>
      <c r="AA158" s="2279"/>
      <c r="AB158" s="2279"/>
      <c r="AC158" s="2279"/>
      <c r="AD158" s="2279"/>
      <c r="AE158" s="2280"/>
      <c r="AF158" s="1207"/>
      <c r="AG158" s="1207"/>
      <c r="AH158" s="2414" t="s">
        <v>2603</v>
      </c>
      <c r="AI158" s="2415"/>
      <c r="AJ158" s="2415"/>
      <c r="AK158" s="2415"/>
      <c r="AL158" s="2415"/>
      <c r="AM158" s="2415"/>
      <c r="AN158" s="2415"/>
      <c r="AO158" s="2415"/>
      <c r="AP158" s="2415"/>
      <c r="AQ158" s="2415"/>
      <c r="AR158" s="2416"/>
      <c r="AS158" s="2420" t="s">
        <v>2604</v>
      </c>
      <c r="AT158" s="2421"/>
      <c r="AU158" s="2421"/>
      <c r="AV158" s="2421"/>
      <c r="AW158" s="2421"/>
      <c r="AX158" s="2422"/>
      <c r="AY158" s="2421" t="s">
        <v>2605</v>
      </c>
      <c r="AZ158" s="2421"/>
      <c r="BA158" s="2421"/>
      <c r="BB158" s="2421"/>
      <c r="BC158" s="2421"/>
      <c r="BD158" s="2426"/>
      <c r="BE158" s="1213"/>
    </row>
    <row r="159" spans="1:57" ht="15.75" customHeight="1">
      <c r="A159" s="1207"/>
      <c r="B159" s="1207"/>
      <c r="C159" s="2397" t="s">
        <v>2606</v>
      </c>
      <c r="D159" s="2398"/>
      <c r="E159" s="2398"/>
      <c r="F159" s="2398"/>
      <c r="G159" s="2398"/>
      <c r="H159" s="2398"/>
      <c r="I159" s="2398"/>
      <c r="J159" s="2398"/>
      <c r="K159" s="2398"/>
      <c r="L159" s="2398"/>
      <c r="M159" s="2398"/>
      <c r="N159" s="2428">
        <v>0</v>
      </c>
      <c r="O159" s="2428"/>
      <c r="P159" s="2428"/>
      <c r="Q159" s="2428"/>
      <c r="R159" s="2428"/>
      <c r="S159" s="2428"/>
      <c r="T159" s="2428"/>
      <c r="U159" s="2279"/>
      <c r="V159" s="2279"/>
      <c r="W159" s="2279"/>
      <c r="X159" s="2279"/>
      <c r="Y159" s="2279"/>
      <c r="Z159" s="2279"/>
      <c r="AA159" s="2279"/>
      <c r="AB159" s="2279"/>
      <c r="AC159" s="2279"/>
      <c r="AD159" s="2279"/>
      <c r="AE159" s="2280"/>
      <c r="AF159" s="1207"/>
      <c r="AG159" s="1207"/>
      <c r="AH159" s="2417"/>
      <c r="AI159" s="2418"/>
      <c r="AJ159" s="2418"/>
      <c r="AK159" s="2418"/>
      <c r="AL159" s="2418"/>
      <c r="AM159" s="2418"/>
      <c r="AN159" s="2418"/>
      <c r="AO159" s="2418"/>
      <c r="AP159" s="2418"/>
      <c r="AQ159" s="2418"/>
      <c r="AR159" s="2419"/>
      <c r="AS159" s="2423"/>
      <c r="AT159" s="2424"/>
      <c r="AU159" s="2424"/>
      <c r="AV159" s="2424"/>
      <c r="AW159" s="2424"/>
      <c r="AX159" s="2425"/>
      <c r="AY159" s="2424"/>
      <c r="AZ159" s="2424"/>
      <c r="BA159" s="2424"/>
      <c r="BB159" s="2424"/>
      <c r="BC159" s="2424"/>
      <c r="BD159" s="2427"/>
      <c r="BE159" s="1213"/>
    </row>
    <row r="160" spans="1:57" ht="15.75" customHeight="1">
      <c r="A160" s="1207"/>
      <c r="B160" s="1207"/>
      <c r="C160" s="2397" t="s">
        <v>2607</v>
      </c>
      <c r="D160" s="2398"/>
      <c r="E160" s="2398"/>
      <c r="F160" s="2398"/>
      <c r="G160" s="2398"/>
      <c r="H160" s="2398"/>
      <c r="I160" s="2398"/>
      <c r="J160" s="2398"/>
      <c r="K160" s="2398"/>
      <c r="L160" s="2398"/>
      <c r="M160" s="2398"/>
      <c r="N160" s="2428">
        <v>0</v>
      </c>
      <c r="O160" s="2428"/>
      <c r="P160" s="2428"/>
      <c r="Q160" s="2428"/>
      <c r="R160" s="2428"/>
      <c r="S160" s="2428"/>
      <c r="T160" s="2428"/>
      <c r="U160" s="2279"/>
      <c r="V160" s="2279"/>
      <c r="W160" s="2279"/>
      <c r="X160" s="2279"/>
      <c r="Y160" s="2279"/>
      <c r="Z160" s="2279"/>
      <c r="AA160" s="2279"/>
      <c r="AB160" s="2279"/>
      <c r="AC160" s="2279"/>
      <c r="AD160" s="2279"/>
      <c r="AE160" s="2280"/>
      <c r="AF160" s="1207"/>
      <c r="AG160" s="1207"/>
      <c r="AH160" s="2429" t="s">
        <v>2271</v>
      </c>
      <c r="AI160" s="2430"/>
      <c r="AJ160" s="2430"/>
      <c r="AK160" s="2430"/>
      <c r="AL160" s="2430"/>
      <c r="AM160" s="2430"/>
      <c r="AN160" s="2430"/>
      <c r="AO160" s="2430"/>
      <c r="AP160" s="2430"/>
      <c r="AQ160" s="2430"/>
      <c r="AR160" s="2430"/>
      <c r="AS160" s="2431">
        <v>0</v>
      </c>
      <c r="AT160" s="2431"/>
      <c r="AU160" s="2431"/>
      <c r="AV160" s="2431"/>
      <c r="AW160" s="2431"/>
      <c r="AX160" s="2431"/>
      <c r="AY160" s="2431">
        <v>0</v>
      </c>
      <c r="AZ160" s="2431"/>
      <c r="BA160" s="2431"/>
      <c r="BB160" s="2431"/>
      <c r="BC160" s="2431"/>
      <c r="BD160" s="2432"/>
      <c r="BE160" s="1213"/>
    </row>
    <row r="161" spans="1:57" ht="15.75" customHeight="1">
      <c r="A161" s="1207"/>
      <c r="B161" s="1207"/>
      <c r="C161" s="2434" t="s">
        <v>302</v>
      </c>
      <c r="D161" s="2381"/>
      <c r="E161" s="2433" t="s">
        <v>1916</v>
      </c>
      <c r="F161" s="2433"/>
      <c r="G161" s="2433"/>
      <c r="H161" s="2433"/>
      <c r="I161" s="2433"/>
      <c r="J161" s="2433"/>
      <c r="K161" s="2433"/>
      <c r="L161" s="2433"/>
      <c r="M161" s="2433"/>
      <c r="N161" s="2428">
        <v>0</v>
      </c>
      <c r="O161" s="2428"/>
      <c r="P161" s="2428"/>
      <c r="Q161" s="2428"/>
      <c r="R161" s="2428"/>
      <c r="S161" s="2428"/>
      <c r="T161" s="2428"/>
      <c r="U161" s="2279"/>
      <c r="V161" s="2279"/>
      <c r="W161" s="2279"/>
      <c r="X161" s="2279"/>
      <c r="Y161" s="2279"/>
      <c r="Z161" s="2279"/>
      <c r="AA161" s="2279"/>
      <c r="AB161" s="2279"/>
      <c r="AC161" s="2279"/>
      <c r="AD161" s="2279"/>
      <c r="AE161" s="2280"/>
      <c r="AF161" s="1207"/>
      <c r="AG161" s="1207"/>
      <c r="AH161" s="2429" t="s">
        <v>2272</v>
      </c>
      <c r="AI161" s="2430"/>
      <c r="AJ161" s="2430"/>
      <c r="AK161" s="2430"/>
      <c r="AL161" s="2430"/>
      <c r="AM161" s="2430"/>
      <c r="AN161" s="2430"/>
      <c r="AO161" s="2430"/>
      <c r="AP161" s="2430"/>
      <c r="AQ161" s="2430"/>
      <c r="AR161" s="2430"/>
      <c r="AS161" s="2431">
        <v>0</v>
      </c>
      <c r="AT161" s="2431"/>
      <c r="AU161" s="2431"/>
      <c r="AV161" s="2431"/>
      <c r="AW161" s="2431"/>
      <c r="AX161" s="2431"/>
      <c r="AY161" s="2431">
        <v>0</v>
      </c>
      <c r="AZ161" s="2431"/>
      <c r="BA161" s="2431"/>
      <c r="BB161" s="2431"/>
      <c r="BC161" s="2431"/>
      <c r="BD161" s="2432"/>
      <c r="BE161" s="1213"/>
    </row>
    <row r="162" spans="1:57" ht="15.75" customHeight="1">
      <c r="A162" s="1207"/>
      <c r="B162" s="1207"/>
      <c r="C162" s="2322" t="s">
        <v>302</v>
      </c>
      <c r="D162" s="2267"/>
      <c r="E162" s="2433" t="s">
        <v>1916</v>
      </c>
      <c r="F162" s="2433"/>
      <c r="G162" s="2433"/>
      <c r="H162" s="2433"/>
      <c r="I162" s="2433"/>
      <c r="J162" s="2433"/>
      <c r="K162" s="2433"/>
      <c r="L162" s="2433"/>
      <c r="M162" s="2433"/>
      <c r="N162" s="2428">
        <v>0</v>
      </c>
      <c r="O162" s="2428"/>
      <c r="P162" s="2428"/>
      <c r="Q162" s="2428"/>
      <c r="R162" s="2428"/>
      <c r="S162" s="2428"/>
      <c r="T162" s="2428"/>
      <c r="U162" s="2279"/>
      <c r="V162" s="2279"/>
      <c r="W162" s="2279"/>
      <c r="X162" s="2279"/>
      <c r="Y162" s="2279"/>
      <c r="Z162" s="2279"/>
      <c r="AA162" s="2279"/>
      <c r="AB162" s="2279"/>
      <c r="AC162" s="2279"/>
      <c r="AD162" s="2279"/>
      <c r="AE162" s="2280"/>
      <c r="AF162" s="1207"/>
      <c r="AG162" s="1207"/>
      <c r="AH162" s="2429" t="s">
        <v>2273</v>
      </c>
      <c r="AI162" s="2430"/>
      <c r="AJ162" s="2430"/>
      <c r="AK162" s="2430"/>
      <c r="AL162" s="2430"/>
      <c r="AM162" s="2430"/>
      <c r="AN162" s="2430"/>
      <c r="AO162" s="2430"/>
      <c r="AP162" s="2430"/>
      <c r="AQ162" s="2430"/>
      <c r="AR162" s="2430"/>
      <c r="AS162" s="2431">
        <v>0</v>
      </c>
      <c r="AT162" s="2431"/>
      <c r="AU162" s="2431"/>
      <c r="AV162" s="2431"/>
      <c r="AW162" s="2431"/>
      <c r="AX162" s="2431"/>
      <c r="AY162" s="2431">
        <v>0</v>
      </c>
      <c r="AZ162" s="2431"/>
      <c r="BA162" s="2431"/>
      <c r="BB162" s="2431"/>
      <c r="BC162" s="2431"/>
      <c r="BD162" s="2432"/>
      <c r="BE162" s="1213"/>
    </row>
    <row r="163" spans="1:57" ht="15.75" customHeight="1" thickBot="1">
      <c r="A163" s="1207"/>
      <c r="B163" s="1207"/>
      <c r="C163" s="2439" t="s">
        <v>302</v>
      </c>
      <c r="D163" s="2440"/>
      <c r="E163" s="2441" t="s">
        <v>1916</v>
      </c>
      <c r="F163" s="2441"/>
      <c r="G163" s="2441"/>
      <c r="H163" s="2441"/>
      <c r="I163" s="2441"/>
      <c r="J163" s="2441"/>
      <c r="K163" s="2441"/>
      <c r="L163" s="2441"/>
      <c r="M163" s="2442"/>
      <c r="N163" s="2443">
        <v>0</v>
      </c>
      <c r="O163" s="2443"/>
      <c r="P163" s="2443"/>
      <c r="Q163" s="2443"/>
      <c r="R163" s="2443"/>
      <c r="S163" s="2443"/>
      <c r="T163" s="2444"/>
      <c r="U163" s="2445"/>
      <c r="V163" s="2446"/>
      <c r="W163" s="2446"/>
      <c r="X163" s="2446"/>
      <c r="Y163" s="2446"/>
      <c r="Z163" s="2446"/>
      <c r="AA163" s="2446"/>
      <c r="AB163" s="2446"/>
      <c r="AC163" s="2446"/>
      <c r="AD163" s="2446"/>
      <c r="AE163" s="2447"/>
      <c r="AF163" s="1207"/>
      <c r="AG163" s="1207"/>
      <c r="AH163" s="2429" t="s">
        <v>2274</v>
      </c>
      <c r="AI163" s="2430"/>
      <c r="AJ163" s="2430"/>
      <c r="AK163" s="2430"/>
      <c r="AL163" s="2430"/>
      <c r="AM163" s="2430"/>
      <c r="AN163" s="2430"/>
      <c r="AO163" s="2430"/>
      <c r="AP163" s="2430"/>
      <c r="AQ163" s="2430"/>
      <c r="AR163" s="2430"/>
      <c r="AS163" s="2431">
        <v>0</v>
      </c>
      <c r="AT163" s="2431"/>
      <c r="AU163" s="2431"/>
      <c r="AV163" s="2431"/>
      <c r="AW163" s="2431"/>
      <c r="AX163" s="2431"/>
      <c r="AY163" s="2431">
        <v>0</v>
      </c>
      <c r="AZ163" s="2431"/>
      <c r="BA163" s="2431"/>
      <c r="BB163" s="2431"/>
      <c r="BC163" s="2431"/>
      <c r="BD163" s="2432"/>
      <c r="BE163" s="1213"/>
    </row>
    <row r="164" spans="1:57" ht="15.75" customHeight="1">
      <c r="A164" s="1207"/>
      <c r="B164" s="1207"/>
      <c r="C164" s="2435" t="s">
        <v>1924</v>
      </c>
      <c r="D164" s="2436"/>
      <c r="E164" s="2436"/>
      <c r="F164" s="2436"/>
      <c r="G164" s="2436"/>
      <c r="H164" s="2436"/>
      <c r="I164" s="2436"/>
      <c r="J164" s="2436"/>
      <c r="K164" s="2436"/>
      <c r="L164" s="2436"/>
      <c r="M164" s="2436"/>
      <c r="N164" s="2437">
        <f>SUM(N156:T163)</f>
        <v>3300000</v>
      </c>
      <c r="O164" s="2437"/>
      <c r="P164" s="2437"/>
      <c r="Q164" s="2437"/>
      <c r="R164" s="2437"/>
      <c r="S164" s="2437"/>
      <c r="T164" s="2438"/>
      <c r="U164" s="1207"/>
      <c r="V164" s="1207"/>
      <c r="W164" s="1207"/>
      <c r="X164" s="1207"/>
      <c r="Y164" s="1207"/>
      <c r="Z164" s="1207"/>
      <c r="AA164" s="1207"/>
      <c r="AB164" s="1207"/>
      <c r="AC164" s="1207"/>
      <c r="AD164" s="1207"/>
      <c r="AE164" s="1207"/>
      <c r="AF164" s="1207"/>
      <c r="AG164" s="1207"/>
      <c r="AH164" s="2429" t="s">
        <v>2275</v>
      </c>
      <c r="AI164" s="2430"/>
      <c r="AJ164" s="2430"/>
      <c r="AK164" s="2430"/>
      <c r="AL164" s="2430"/>
      <c r="AM164" s="2430"/>
      <c r="AN164" s="2430"/>
      <c r="AO164" s="2430"/>
      <c r="AP164" s="2430"/>
      <c r="AQ164" s="2430"/>
      <c r="AR164" s="2430"/>
      <c r="AS164" s="2431">
        <v>0</v>
      </c>
      <c r="AT164" s="2431"/>
      <c r="AU164" s="2431"/>
      <c r="AV164" s="2431"/>
      <c r="AW164" s="2431"/>
      <c r="AX164" s="2431"/>
      <c r="AY164" s="2431">
        <v>0</v>
      </c>
      <c r="AZ164" s="2431"/>
      <c r="BA164" s="2431"/>
      <c r="BB164" s="2431"/>
      <c r="BC164" s="2431"/>
      <c r="BD164" s="2432"/>
      <c r="BE164" s="1213"/>
    </row>
    <row r="165" spans="1:57" ht="15.75" customHeight="1" thickBot="1">
      <c r="A165" s="1207"/>
      <c r="B165" s="1207"/>
      <c r="C165" s="2461" t="s">
        <v>2608</v>
      </c>
      <c r="D165" s="2462"/>
      <c r="E165" s="2462"/>
      <c r="F165" s="2462"/>
      <c r="G165" s="2462"/>
      <c r="H165" s="2462"/>
      <c r="I165" s="2462"/>
      <c r="J165" s="2462"/>
      <c r="K165" s="2462"/>
      <c r="L165" s="2462"/>
      <c r="M165" s="2462"/>
      <c r="N165" s="2463">
        <f>(N154-N164)/J29</f>
        <v>581954.52857142861</v>
      </c>
      <c r="O165" s="2464"/>
      <c r="P165" s="2464"/>
      <c r="Q165" s="2464"/>
      <c r="R165" s="2464"/>
      <c r="S165" s="2464"/>
      <c r="T165" s="2465"/>
      <c r="U165" s="1214"/>
      <c r="V165" s="1207"/>
      <c r="W165" s="1207"/>
      <c r="X165" s="1207"/>
      <c r="Y165" s="1207"/>
      <c r="Z165" s="1207"/>
      <c r="AA165" s="1207"/>
      <c r="AB165" s="1207"/>
      <c r="AC165" s="1207"/>
      <c r="AD165" s="1207"/>
      <c r="AE165" s="1207"/>
      <c r="AF165" s="1207"/>
      <c r="AG165" s="1207"/>
      <c r="AH165" s="2429" t="s">
        <v>2276</v>
      </c>
      <c r="AI165" s="2430"/>
      <c r="AJ165" s="2430"/>
      <c r="AK165" s="2430"/>
      <c r="AL165" s="2430"/>
      <c r="AM165" s="2430"/>
      <c r="AN165" s="2430"/>
      <c r="AO165" s="2430"/>
      <c r="AP165" s="2430"/>
      <c r="AQ165" s="2430"/>
      <c r="AR165" s="2430"/>
      <c r="AS165" s="2431">
        <v>0</v>
      </c>
      <c r="AT165" s="2431"/>
      <c r="AU165" s="2431"/>
      <c r="AV165" s="2431"/>
      <c r="AW165" s="2431"/>
      <c r="AX165" s="2431"/>
      <c r="AY165" s="2431">
        <v>0</v>
      </c>
      <c r="AZ165" s="2431"/>
      <c r="BA165" s="2431"/>
      <c r="BB165" s="2431"/>
      <c r="BC165" s="2431"/>
      <c r="BD165" s="243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6" t="s">
        <v>125</v>
      </c>
      <c r="AI166" s="2467"/>
      <c r="AJ166" s="2467"/>
      <c r="AK166" s="2467"/>
      <c r="AL166" s="2467"/>
      <c r="AM166" s="2467"/>
      <c r="AN166" s="2467"/>
      <c r="AO166" s="2467"/>
      <c r="AP166" s="2467"/>
      <c r="AQ166" s="2467"/>
      <c r="AR166" s="2467"/>
      <c r="AS166" s="2468">
        <f>SUM(AS160:AX165)</f>
        <v>0</v>
      </c>
      <c r="AT166" s="2468"/>
      <c r="AU166" s="2468"/>
      <c r="AV166" s="2468"/>
      <c r="AW166" s="2468"/>
      <c r="AX166" s="2468"/>
      <c r="AY166" s="2468">
        <f>SUM(AY160:BD165)</f>
        <v>0</v>
      </c>
      <c r="AZ166" s="2468"/>
      <c r="BA166" s="2468"/>
      <c r="BB166" s="2468"/>
      <c r="BC166" s="2468"/>
      <c r="BD166" s="246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8" t="s">
        <v>1925</v>
      </c>
      <c r="C168" s="2449"/>
      <c r="D168" s="2449"/>
      <c r="E168" s="2449"/>
      <c r="F168" s="2449"/>
      <c r="G168" s="2449"/>
      <c r="H168" s="2449"/>
      <c r="I168" s="2449"/>
      <c r="J168" s="2449"/>
      <c r="K168" s="2449"/>
      <c r="L168" s="2449"/>
      <c r="M168" s="2449"/>
      <c r="N168" s="2449"/>
      <c r="O168" s="2449"/>
      <c r="P168" s="2449"/>
      <c r="Q168" s="2449"/>
      <c r="R168" s="2449"/>
      <c r="S168" s="2449"/>
      <c r="T168" s="2449"/>
      <c r="U168" s="2449"/>
      <c r="V168" s="2449"/>
      <c r="W168" s="2449"/>
      <c r="X168" s="2449"/>
      <c r="Y168" s="2449"/>
      <c r="Z168" s="2449"/>
      <c r="AA168" s="2449"/>
      <c r="AB168" s="2449"/>
      <c r="AC168" s="2449"/>
      <c r="AD168" s="2449"/>
      <c r="AE168" s="2449"/>
      <c r="AF168" s="2449"/>
      <c r="AG168" s="2449"/>
      <c r="AH168" s="2449"/>
      <c r="AI168" s="2449"/>
      <c r="AJ168" s="2449"/>
      <c r="AK168" s="2449"/>
      <c r="AL168" s="2449"/>
      <c r="AM168" s="2449"/>
      <c r="AN168" s="2449"/>
      <c r="AO168" s="2449"/>
      <c r="AP168" s="2449"/>
      <c r="AQ168" s="2449"/>
      <c r="AR168" s="2449"/>
      <c r="AS168" s="2449"/>
      <c r="AT168" s="2449"/>
      <c r="AU168" s="2449"/>
      <c r="AV168" s="2449"/>
      <c r="AW168" s="2449"/>
      <c r="AX168" s="2449"/>
      <c r="AY168" s="2449"/>
      <c r="AZ168" s="2449"/>
      <c r="BA168" s="2449"/>
      <c r="BB168" s="2449"/>
      <c r="BC168" s="2449"/>
      <c r="BD168" s="2450"/>
      <c r="BE168" s="1213"/>
    </row>
    <row r="169" spans="1:57" ht="15.75" customHeight="1">
      <c r="A169" s="1207"/>
      <c r="B169" s="2451"/>
      <c r="C169" s="2452"/>
      <c r="D169" s="2452"/>
      <c r="E169" s="2452"/>
      <c r="F169" s="2452"/>
      <c r="G169" s="2452"/>
      <c r="H169" s="2452"/>
      <c r="I169" s="2452"/>
      <c r="J169" s="2452"/>
      <c r="K169" s="2452"/>
      <c r="L169" s="2452"/>
      <c r="M169" s="2452"/>
      <c r="N169" s="2452"/>
      <c r="O169" s="2452"/>
      <c r="P169" s="2452"/>
      <c r="Q169" s="2452"/>
      <c r="R169" s="2452"/>
      <c r="S169" s="2452"/>
      <c r="T169" s="2452"/>
      <c r="U169" s="2452"/>
      <c r="V169" s="2452"/>
      <c r="W169" s="2452"/>
      <c r="X169" s="2452"/>
      <c r="Y169" s="2452"/>
      <c r="Z169" s="2452"/>
      <c r="AA169" s="2452"/>
      <c r="AB169" s="2452"/>
      <c r="AC169" s="2452"/>
      <c r="AD169" s="2452"/>
      <c r="AE169" s="2452"/>
      <c r="AF169" s="2452"/>
      <c r="AG169" s="2452"/>
      <c r="AH169" s="2452"/>
      <c r="AI169" s="2452"/>
      <c r="AJ169" s="2452"/>
      <c r="AK169" s="2452"/>
      <c r="AL169" s="2452"/>
      <c r="AM169" s="2452"/>
      <c r="AN169" s="2452"/>
      <c r="AO169" s="2452"/>
      <c r="AP169" s="2452"/>
      <c r="AQ169" s="2452"/>
      <c r="AR169" s="2452"/>
      <c r="AS169" s="2452"/>
      <c r="AT169" s="2452"/>
      <c r="AU169" s="2452"/>
      <c r="AV169" s="2452"/>
      <c r="AW169" s="2452"/>
      <c r="AX169" s="2452"/>
      <c r="AY169" s="2452"/>
      <c r="AZ169" s="2452"/>
      <c r="BA169" s="2452"/>
      <c r="BB169" s="2452"/>
      <c r="BC169" s="2452"/>
      <c r="BD169" s="2453"/>
      <c r="BE169" s="1213"/>
    </row>
    <row r="170" spans="1:57" ht="15.75" customHeight="1">
      <c r="A170" s="1207"/>
      <c r="B170" s="2454" t="s">
        <v>1926</v>
      </c>
      <c r="C170" s="2455"/>
      <c r="D170" s="2455"/>
      <c r="E170" s="2455"/>
      <c r="F170" s="2455"/>
      <c r="G170" s="2455"/>
      <c r="H170" s="2455"/>
      <c r="I170" s="2455"/>
      <c r="J170" s="2455"/>
      <c r="K170" s="2455"/>
      <c r="L170" s="2455"/>
      <c r="M170" s="2455"/>
      <c r="N170" s="2455"/>
      <c r="O170" s="2455"/>
      <c r="P170" s="2455"/>
      <c r="Q170" s="2455"/>
      <c r="R170" s="2455"/>
      <c r="S170" s="2455"/>
      <c r="T170" s="2455"/>
      <c r="U170" s="2455"/>
      <c r="V170" s="2455"/>
      <c r="W170" s="2455"/>
      <c r="X170" s="2455"/>
      <c r="Y170" s="2455"/>
      <c r="Z170" s="2455"/>
      <c r="AA170" s="2455"/>
      <c r="AB170" s="2455"/>
      <c r="AC170" s="2455"/>
      <c r="AD170" s="2455"/>
      <c r="AE170" s="2455"/>
      <c r="AF170" s="2455"/>
      <c r="AG170" s="2455"/>
      <c r="AH170" s="2455"/>
      <c r="AI170" s="2455"/>
      <c r="AJ170" s="2455"/>
      <c r="AK170" s="2455"/>
      <c r="AL170" s="2455"/>
      <c r="AM170" s="2455"/>
      <c r="AN170" s="2455"/>
      <c r="AO170" s="2455"/>
      <c r="AP170" s="2455"/>
      <c r="AQ170" s="2455"/>
      <c r="AR170" s="2455"/>
      <c r="AS170" s="2455"/>
      <c r="AT170" s="2455"/>
      <c r="AU170" s="2455"/>
      <c r="AV170" s="2455"/>
      <c r="AW170" s="2455"/>
      <c r="AX170" s="2455"/>
      <c r="AY170" s="2455"/>
      <c r="AZ170" s="2455"/>
      <c r="BA170" s="2455"/>
      <c r="BB170" s="2455"/>
      <c r="BC170" s="2455"/>
      <c r="BD170" s="2456"/>
      <c r="BE170" s="1213"/>
    </row>
    <row r="171" spans="1:57" ht="15.75" customHeight="1">
      <c r="A171" s="1207"/>
      <c r="B171" s="2454" t="s">
        <v>1927</v>
      </c>
      <c r="C171" s="2455"/>
      <c r="D171" s="2455"/>
      <c r="E171" s="2455"/>
      <c r="F171" s="2455"/>
      <c r="G171" s="2455"/>
      <c r="H171" s="2455"/>
      <c r="I171" s="2455"/>
      <c r="J171" s="2455"/>
      <c r="K171" s="2455"/>
      <c r="L171" s="2455"/>
      <c r="M171" s="2455"/>
      <c r="N171" s="2455"/>
      <c r="O171" s="2455"/>
      <c r="P171" s="2455"/>
      <c r="Q171" s="2455"/>
      <c r="R171" s="2455"/>
      <c r="S171" s="2455"/>
      <c r="T171" s="2455"/>
      <c r="U171" s="2455"/>
      <c r="V171" s="2455"/>
      <c r="W171" s="2455"/>
      <c r="X171" s="2455"/>
      <c r="Y171" s="2455"/>
      <c r="Z171" s="2455"/>
      <c r="AA171" s="2455"/>
      <c r="AB171" s="2455"/>
      <c r="AC171" s="2455"/>
      <c r="AD171" s="2455"/>
      <c r="AE171" s="2455"/>
      <c r="AF171" s="2455"/>
      <c r="AG171" s="2455"/>
      <c r="AH171" s="2455"/>
      <c r="AI171" s="2455"/>
      <c r="AJ171" s="2455"/>
      <c r="AK171" s="2455"/>
      <c r="AL171" s="2455"/>
      <c r="AM171" s="2455"/>
      <c r="AN171" s="2455"/>
      <c r="AO171" s="2455"/>
      <c r="AP171" s="2455"/>
      <c r="AQ171" s="2455"/>
      <c r="AR171" s="2455"/>
      <c r="AS171" s="2455"/>
      <c r="AT171" s="2455"/>
      <c r="AU171" s="2455"/>
      <c r="AV171" s="2455"/>
      <c r="AW171" s="2455"/>
      <c r="AX171" s="2455"/>
      <c r="AY171" s="2455"/>
      <c r="AZ171" s="2455"/>
      <c r="BA171" s="2455"/>
      <c r="BB171" s="2455"/>
      <c r="BC171" s="2455"/>
      <c r="BD171" s="245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7" t="s">
        <v>1928</v>
      </c>
      <c r="C173" s="2458"/>
      <c r="D173" s="2458"/>
      <c r="E173" s="2458"/>
      <c r="F173" s="2458"/>
      <c r="G173" s="2458"/>
      <c r="H173" s="2458"/>
      <c r="I173" s="2458"/>
      <c r="J173" s="2458"/>
      <c r="K173" s="2458"/>
      <c r="L173" s="2458"/>
      <c r="M173" s="2458"/>
      <c r="N173" s="2458"/>
      <c r="O173" s="2458"/>
      <c r="P173" s="2458"/>
      <c r="Q173" s="2458"/>
      <c r="R173" s="2458"/>
      <c r="S173" s="2458"/>
      <c r="T173" s="2458"/>
      <c r="U173" s="2458"/>
      <c r="V173" s="2458"/>
      <c r="W173" s="2458"/>
      <c r="X173" s="2458"/>
      <c r="Y173" s="2458"/>
      <c r="Z173" s="2458"/>
      <c r="AA173" s="2458"/>
      <c r="AB173" s="2458"/>
      <c r="AC173" s="2458"/>
      <c r="AD173" s="2458"/>
      <c r="AE173" s="2458"/>
      <c r="AF173" s="2458"/>
      <c r="AG173" s="2458"/>
      <c r="AH173" s="2458"/>
      <c r="AI173" s="2458"/>
      <c r="AJ173" s="2458"/>
      <c r="AK173" s="2458"/>
      <c r="AL173" s="2458"/>
      <c r="AM173" s="2458"/>
      <c r="AN173" s="2458"/>
      <c r="AO173" s="2458"/>
      <c r="AP173" s="2458"/>
      <c r="AQ173" s="2458"/>
      <c r="AR173" s="2458"/>
      <c r="AS173" s="2458"/>
      <c r="AT173" s="2458"/>
      <c r="AU173" s="2458"/>
      <c r="AV173" s="2458"/>
      <c r="AW173" s="2458"/>
      <c r="AX173" s="2458"/>
      <c r="AY173" s="2458"/>
      <c r="AZ173" s="2458"/>
      <c r="BA173" s="2458"/>
      <c r="BB173" s="2458"/>
      <c r="BC173" s="2458"/>
      <c r="BD173" s="245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60" t="s">
        <v>1930</v>
      </c>
      <c r="I177" s="2460"/>
      <c r="J177" s="2460"/>
      <c r="K177" s="2460"/>
      <c r="L177" s="2460"/>
      <c r="M177" s="2460"/>
      <c r="N177" s="2460"/>
      <c r="O177" s="2460"/>
      <c r="P177" s="2460"/>
      <c r="Q177" s="2460"/>
      <c r="R177" s="2460"/>
      <c r="S177" s="2460"/>
      <c r="T177" s="2460"/>
      <c r="U177" s="2460"/>
      <c r="V177" s="2460"/>
      <c r="W177" s="2460"/>
      <c r="X177" s="2460"/>
      <c r="Y177" s="2460"/>
      <c r="Z177" s="2460"/>
      <c r="AA177" s="2460"/>
      <c r="AB177" s="2460"/>
      <c r="AC177" s="2460"/>
      <c r="AD177" s="2460"/>
      <c r="AE177" s="2460"/>
      <c r="AF177" s="2460"/>
      <c r="AG177" s="2460"/>
      <c r="AH177" s="2460"/>
      <c r="AI177" s="2460"/>
      <c r="AJ177" s="2460"/>
      <c r="AK177" s="2460"/>
      <c r="AL177" s="2460"/>
      <c r="AM177" s="2460"/>
      <c r="AN177" s="2460"/>
      <c r="AO177" s="2460"/>
      <c r="AP177" s="2460"/>
      <c r="AQ177" s="2460"/>
      <c r="AR177" s="2460"/>
      <c r="AS177" s="2460"/>
      <c r="AT177" s="2460"/>
      <c r="AU177" s="2460"/>
      <c r="AV177" s="2460"/>
      <c r="AW177" s="2460"/>
      <c r="AX177" s="2460"/>
      <c r="AY177" s="246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9" t="s">
        <v>2609</v>
      </c>
      <c r="I179" s="2479"/>
      <c r="J179" s="2479"/>
      <c r="K179" s="2479"/>
      <c r="L179" s="2479"/>
      <c r="M179" s="2479"/>
      <c r="N179" s="2479"/>
      <c r="O179" s="2479"/>
      <c r="P179" s="2479"/>
      <c r="Q179" s="2479"/>
      <c r="R179" s="2479"/>
      <c r="S179" s="2479"/>
      <c r="T179" s="2479"/>
      <c r="U179" s="2479"/>
      <c r="V179" s="2479"/>
      <c r="W179" s="2479"/>
      <c r="X179" s="2479"/>
      <c r="Y179" s="2479"/>
      <c r="Z179" s="2479"/>
      <c r="AA179" s="2479"/>
      <c r="AB179" s="2479"/>
      <c r="AC179" s="2479"/>
      <c r="AD179" s="2479"/>
      <c r="AE179" s="2479"/>
      <c r="AF179" s="2479"/>
      <c r="AG179" s="2479"/>
      <c r="AH179" s="2479"/>
      <c r="AI179" s="2479"/>
      <c r="AJ179" s="2479"/>
      <c r="AK179" s="2479"/>
      <c r="AL179" s="2479"/>
      <c r="AM179" s="2479"/>
      <c r="AN179" s="2479"/>
      <c r="AO179" s="2479"/>
      <c r="AP179" s="2479"/>
      <c r="AQ179" s="2479"/>
      <c r="AR179" s="2479"/>
      <c r="AS179" s="2479"/>
      <c r="AT179" s="2479"/>
      <c r="AU179" s="2479"/>
      <c r="AV179" s="2479"/>
      <c r="AW179" s="2479"/>
      <c r="AX179" s="2479"/>
      <c r="AY179" s="2479"/>
      <c r="AZ179" s="2479"/>
      <c r="BA179" s="1207"/>
      <c r="BB179" s="1207"/>
      <c r="BC179" s="1207"/>
      <c r="BD179" s="1213"/>
      <c r="BE179" s="1213"/>
    </row>
    <row r="180" spans="1:57" ht="15.75" customHeight="1">
      <c r="A180" s="1207"/>
      <c r="B180" s="1206"/>
      <c r="C180" s="1207"/>
      <c r="D180" s="1207"/>
      <c r="E180" s="1207"/>
      <c r="F180" s="1207"/>
      <c r="G180" s="1207"/>
      <c r="H180" s="2479"/>
      <c r="I180" s="2479"/>
      <c r="J180" s="2479"/>
      <c r="K180" s="2479"/>
      <c r="L180" s="2479"/>
      <c r="M180" s="2479"/>
      <c r="N180" s="2479"/>
      <c r="O180" s="2479"/>
      <c r="P180" s="2479"/>
      <c r="Q180" s="2479"/>
      <c r="R180" s="2479"/>
      <c r="S180" s="2479"/>
      <c r="T180" s="2479"/>
      <c r="U180" s="2479"/>
      <c r="V180" s="2479"/>
      <c r="W180" s="2479"/>
      <c r="X180" s="2479"/>
      <c r="Y180" s="2479"/>
      <c r="Z180" s="2479"/>
      <c r="AA180" s="2479"/>
      <c r="AB180" s="2479"/>
      <c r="AC180" s="2479"/>
      <c r="AD180" s="2479"/>
      <c r="AE180" s="2479"/>
      <c r="AF180" s="2479"/>
      <c r="AG180" s="2479"/>
      <c r="AH180" s="2479"/>
      <c r="AI180" s="2479"/>
      <c r="AJ180" s="2479"/>
      <c r="AK180" s="2479"/>
      <c r="AL180" s="2479"/>
      <c r="AM180" s="2479"/>
      <c r="AN180" s="2479"/>
      <c r="AO180" s="2479"/>
      <c r="AP180" s="2479"/>
      <c r="AQ180" s="2479"/>
      <c r="AR180" s="2479"/>
      <c r="AS180" s="2479"/>
      <c r="AT180" s="2479"/>
      <c r="AU180" s="2479"/>
      <c r="AV180" s="2479"/>
      <c r="AW180" s="2479"/>
      <c r="AX180" s="2479"/>
      <c r="AY180" s="2479"/>
      <c r="AZ180" s="2479"/>
      <c r="BA180" s="1207"/>
      <c r="BB180" s="1207"/>
      <c r="BC180" s="1207"/>
      <c r="BD180" s="1213"/>
      <c r="BE180" s="1213"/>
    </row>
    <row r="181" spans="1:57" ht="15.75" customHeight="1">
      <c r="A181" s="1207"/>
      <c r="B181" s="1206"/>
      <c r="C181" s="1207"/>
      <c r="D181" s="1207"/>
      <c r="E181" s="1207"/>
      <c r="F181" s="1207"/>
      <c r="G181" s="1207"/>
      <c r="H181" s="2479"/>
      <c r="I181" s="2479"/>
      <c r="J181" s="2479"/>
      <c r="K181" s="2479"/>
      <c r="L181" s="2479"/>
      <c r="M181" s="2479"/>
      <c r="N181" s="2479"/>
      <c r="O181" s="2479"/>
      <c r="P181" s="2479"/>
      <c r="Q181" s="2479"/>
      <c r="R181" s="2479"/>
      <c r="S181" s="2479"/>
      <c r="T181" s="2479"/>
      <c r="U181" s="2479"/>
      <c r="V181" s="2479"/>
      <c r="W181" s="2479"/>
      <c r="X181" s="2479"/>
      <c r="Y181" s="2479"/>
      <c r="Z181" s="2479"/>
      <c r="AA181" s="2479"/>
      <c r="AB181" s="2479"/>
      <c r="AC181" s="2479"/>
      <c r="AD181" s="2479"/>
      <c r="AE181" s="2479"/>
      <c r="AF181" s="2479"/>
      <c r="AG181" s="2479"/>
      <c r="AH181" s="2479"/>
      <c r="AI181" s="2479"/>
      <c r="AJ181" s="2479"/>
      <c r="AK181" s="2479"/>
      <c r="AL181" s="2479"/>
      <c r="AM181" s="2479"/>
      <c r="AN181" s="2479"/>
      <c r="AO181" s="2479"/>
      <c r="AP181" s="2479"/>
      <c r="AQ181" s="2479"/>
      <c r="AR181" s="2479"/>
      <c r="AS181" s="2479"/>
      <c r="AT181" s="2479"/>
      <c r="AU181" s="2479"/>
      <c r="AV181" s="2479"/>
      <c r="AW181" s="2479"/>
      <c r="AX181" s="2479"/>
      <c r="AY181" s="2479"/>
      <c r="AZ181" s="2479"/>
      <c r="BA181" s="1207"/>
      <c r="BB181" s="1207"/>
      <c r="BC181" s="1207"/>
      <c r="BD181" s="1213"/>
      <c r="BE181" s="1213"/>
    </row>
    <row r="182" spans="1:57" ht="15.75" customHeight="1">
      <c r="A182" s="1207"/>
      <c r="B182" s="1206"/>
      <c r="C182" s="1207"/>
      <c r="D182" s="1207"/>
      <c r="E182" s="1207"/>
      <c r="F182" s="1207"/>
      <c r="G182" s="1207"/>
      <c r="H182" s="2479"/>
      <c r="I182" s="2479"/>
      <c r="J182" s="2479"/>
      <c r="K182" s="2479"/>
      <c r="L182" s="2479"/>
      <c r="M182" s="2479"/>
      <c r="N182" s="2479"/>
      <c r="O182" s="2479"/>
      <c r="P182" s="2479"/>
      <c r="Q182" s="2479"/>
      <c r="R182" s="2479"/>
      <c r="S182" s="2479"/>
      <c r="T182" s="2479"/>
      <c r="U182" s="2479"/>
      <c r="V182" s="2479"/>
      <c r="W182" s="2479"/>
      <c r="X182" s="2479"/>
      <c r="Y182" s="2479"/>
      <c r="Z182" s="2479"/>
      <c r="AA182" s="2479"/>
      <c r="AB182" s="2479"/>
      <c r="AC182" s="2479"/>
      <c r="AD182" s="2479"/>
      <c r="AE182" s="2479"/>
      <c r="AF182" s="2479"/>
      <c r="AG182" s="2479"/>
      <c r="AH182" s="2479"/>
      <c r="AI182" s="2479"/>
      <c r="AJ182" s="2479"/>
      <c r="AK182" s="2479"/>
      <c r="AL182" s="2479"/>
      <c r="AM182" s="2479"/>
      <c r="AN182" s="2479"/>
      <c r="AO182" s="2479"/>
      <c r="AP182" s="2479"/>
      <c r="AQ182" s="2479"/>
      <c r="AR182" s="2479"/>
      <c r="AS182" s="2479"/>
      <c r="AT182" s="2479"/>
      <c r="AU182" s="2479"/>
      <c r="AV182" s="2479"/>
      <c r="AW182" s="2479"/>
      <c r="AX182" s="2479"/>
      <c r="AY182" s="2479"/>
      <c r="AZ182" s="247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80" t="s">
        <v>1931</v>
      </c>
      <c r="I184" s="2480"/>
      <c r="J184" s="2480"/>
      <c r="K184" s="2480"/>
      <c r="L184" s="2480"/>
      <c r="M184" s="2480"/>
      <c r="N184" s="2480"/>
      <c r="O184" s="2480"/>
      <c r="P184" s="2480"/>
      <c r="Q184" s="2480"/>
      <c r="R184" s="2480"/>
      <c r="S184" s="2480"/>
      <c r="T184" s="2480"/>
      <c r="U184" s="2480"/>
      <c r="V184" s="2480"/>
      <c r="W184" s="2480"/>
      <c r="X184" s="2480"/>
      <c r="Y184" s="2480"/>
      <c r="Z184" s="2480"/>
      <c r="AA184" s="2480"/>
      <c r="AB184" s="2480"/>
      <c r="AC184" s="2480"/>
      <c r="AD184" s="2480"/>
      <c r="AE184" s="2480"/>
      <c r="AF184" s="2480"/>
      <c r="AG184" s="2480"/>
      <c r="AH184" s="2480"/>
      <c r="AI184" s="2480"/>
      <c r="AJ184" s="2480"/>
      <c r="AK184" s="2480"/>
      <c r="AL184" s="2480"/>
      <c r="AM184" s="2480"/>
      <c r="AN184" s="2480"/>
      <c r="AO184" s="2480"/>
      <c r="AP184" s="2480"/>
      <c r="AQ184" s="2480"/>
      <c r="AR184" s="2480"/>
      <c r="AS184" s="2480"/>
      <c r="AT184" s="2480"/>
      <c r="AU184" s="2480"/>
      <c r="AV184" s="248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70" t="s">
        <v>1932</v>
      </c>
      <c r="I186" s="2470"/>
      <c r="J186" s="2470"/>
      <c r="K186" s="2470"/>
      <c r="L186" s="1222"/>
      <c r="M186" s="1222"/>
      <c r="N186" s="1222"/>
      <c r="O186" s="1222"/>
      <c r="P186" s="1222"/>
      <c r="Q186" s="1222"/>
      <c r="R186" s="1222"/>
      <c r="S186" s="2481"/>
      <c r="T186" s="2477"/>
      <c r="U186" s="2477"/>
      <c r="V186" s="2477"/>
      <c r="W186" s="2477"/>
      <c r="X186" s="2477"/>
      <c r="Y186" s="2477"/>
      <c r="Z186" s="2477"/>
      <c r="AA186" s="2477"/>
      <c r="AB186" s="2477"/>
      <c r="AC186" s="2477"/>
      <c r="AD186" s="2477"/>
      <c r="AE186" s="2477"/>
      <c r="AF186" s="2477"/>
      <c r="AG186" s="2477"/>
      <c r="AH186" s="2477"/>
      <c r="AI186" s="2477"/>
      <c r="AJ186" s="247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70" t="s">
        <v>1933</v>
      </c>
      <c r="I188" s="2470"/>
      <c r="J188" s="2470"/>
      <c r="K188" s="1255"/>
      <c r="L188" s="1222"/>
      <c r="M188" s="1222"/>
      <c r="N188" s="1222"/>
      <c r="O188" s="1222"/>
      <c r="P188" s="1222"/>
      <c r="Q188" s="1222"/>
      <c r="R188" s="1222"/>
      <c r="S188" s="2471"/>
      <c r="T188" s="2472"/>
      <c r="U188" s="2472"/>
      <c r="V188" s="2472"/>
      <c r="W188" s="2472"/>
      <c r="X188" s="2472"/>
      <c r="Y188" s="2472"/>
      <c r="Z188" s="2472"/>
      <c r="AA188" s="2472"/>
      <c r="AB188" s="2472"/>
      <c r="AC188" s="2472"/>
      <c r="AD188" s="2472"/>
      <c r="AE188" s="2472"/>
      <c r="AF188" s="2472"/>
      <c r="AG188" s="2472"/>
      <c r="AH188" s="2472"/>
      <c r="AI188" s="2472"/>
      <c r="AJ188" s="247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70" t="s">
        <v>445</v>
      </c>
      <c r="I190" s="2470"/>
      <c r="J190" s="1255"/>
      <c r="K190" s="1255"/>
      <c r="L190" s="1222"/>
      <c r="M190" s="1222"/>
      <c r="N190" s="1222"/>
      <c r="O190" s="1222"/>
      <c r="P190" s="1222"/>
      <c r="Q190" s="1222"/>
      <c r="R190" s="1222"/>
      <c r="S190" s="2471"/>
      <c r="T190" s="2472"/>
      <c r="U190" s="2472"/>
      <c r="V190" s="2472"/>
      <c r="W190" s="2472"/>
      <c r="X190" s="2472"/>
      <c r="Y190" s="2472"/>
      <c r="Z190" s="2472"/>
      <c r="AA190" s="2472"/>
      <c r="AB190" s="2472"/>
      <c r="AC190" s="2472"/>
      <c r="AD190" s="2472"/>
      <c r="AE190" s="2472"/>
      <c r="AF190" s="2472"/>
      <c r="AG190" s="2472"/>
      <c r="AH190" s="2472"/>
      <c r="AI190" s="2472"/>
      <c r="AJ190" s="247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74" t="s">
        <v>1934</v>
      </c>
      <c r="I192" s="2474"/>
      <c r="J192" s="2474"/>
      <c r="K192" s="2474"/>
      <c r="L192" s="2474"/>
      <c r="M192" s="2474"/>
      <c r="N192" s="2474"/>
      <c r="O192" s="2474"/>
      <c r="P192" s="1222"/>
      <c r="Q192" s="1222"/>
      <c r="R192" s="1222"/>
      <c r="S192" s="2471"/>
      <c r="T192" s="2472"/>
      <c r="U192" s="2472"/>
      <c r="V192" s="2472"/>
      <c r="W192" s="2472"/>
      <c r="X192" s="2472"/>
      <c r="Y192" s="2472"/>
      <c r="Z192" s="2472"/>
      <c r="AA192" s="2472"/>
      <c r="AB192" s="2472"/>
      <c r="AC192" s="2472"/>
      <c r="AD192" s="2472"/>
      <c r="AE192" s="2472"/>
      <c r="AF192" s="2472"/>
      <c r="AG192" s="2472"/>
      <c r="AH192" s="2472"/>
      <c r="AI192" s="2472"/>
      <c r="AJ192" s="247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5" t="s">
        <v>1935</v>
      </c>
      <c r="I194" s="2475"/>
      <c r="J194" s="1222"/>
      <c r="K194" s="1222"/>
      <c r="L194" s="1222"/>
      <c r="M194" s="1222"/>
      <c r="N194" s="1222"/>
      <c r="O194" s="1222"/>
      <c r="P194" s="1222"/>
      <c r="Q194" s="1222"/>
      <c r="R194" s="1222"/>
      <c r="S194" s="2476"/>
      <c r="T194" s="2477"/>
      <c r="U194" s="2477"/>
      <c r="V194" s="2477"/>
      <c r="W194" s="2477"/>
      <c r="X194" s="2477"/>
      <c r="Y194" s="2477"/>
      <c r="Z194" s="2477"/>
      <c r="AA194" s="2477"/>
      <c r="AB194" s="2477"/>
      <c r="AC194" s="2477"/>
      <c r="AD194" s="2477"/>
      <c r="AE194" s="2477"/>
      <c r="AF194" s="2477"/>
      <c r="AG194" s="2477"/>
      <c r="AH194" s="2477"/>
      <c r="AI194" s="2477"/>
      <c r="AJ194" s="247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activeCell="AH74" sqref="AH74"/>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3" t="s">
        <v>1445</v>
      </c>
      <c r="B1" s="2513"/>
      <c r="C1" s="2513"/>
      <c r="D1" s="2513"/>
      <c r="E1" s="2513"/>
      <c r="F1" s="2513"/>
      <c r="G1" s="2513"/>
      <c r="H1" s="2513"/>
      <c r="I1" s="2513"/>
      <c r="J1" s="2513"/>
      <c r="K1" s="2513"/>
      <c r="L1" s="2513"/>
      <c r="M1" s="2513"/>
      <c r="N1" s="2513"/>
      <c r="O1" s="2513"/>
      <c r="P1" s="2513"/>
      <c r="Q1" s="2513"/>
      <c r="R1" s="2513"/>
      <c r="S1" s="2513"/>
      <c r="T1" s="2513"/>
      <c r="U1" s="2513"/>
      <c r="V1" s="2513"/>
      <c r="W1" s="2513"/>
      <c r="X1" s="2513"/>
      <c r="Y1" s="2513"/>
      <c r="Z1" s="2513"/>
      <c r="AA1" s="2513"/>
      <c r="AB1" s="2513"/>
      <c r="AC1" s="2513"/>
      <c r="AD1" s="2513"/>
      <c r="AE1" s="2513"/>
      <c r="AF1" s="2513"/>
      <c r="AG1" s="2513"/>
      <c r="AH1" s="2513"/>
      <c r="AI1" s="2513"/>
      <c r="AJ1" s="2513"/>
      <c r="AK1" s="2513"/>
      <c r="AL1" s="2513"/>
      <c r="AM1" s="2513"/>
      <c r="AN1" s="2513"/>
    </row>
    <row r="2" spans="1:40" ht="12.95" customHeight="1" thickBot="1">
      <c r="A2" s="2514"/>
      <c r="B2" s="2514"/>
      <c r="C2" s="2514"/>
      <c r="D2" s="2514"/>
      <c r="E2" s="2514"/>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15" t="str">
        <f xml:space="preserve"> IF(T25=100%,'Sources and Basis Breakdown'!G2,'Sources and Basis Breakdown'!F2)</f>
        <v>30% PVC for New Const/
Rehabilitation
DDA/QCT
Building(s)</v>
      </c>
      <c r="U7" s="2515"/>
      <c r="V7" s="2515"/>
      <c r="W7" s="2515"/>
      <c r="X7" s="2515"/>
      <c r="Y7" s="2515" t="str">
        <f>IF(T25=100%," ",'Sources and Basis Breakdown'!G2)</f>
        <v>30% PVC for New Const/
Rehabilitation
NON-DDA/
NON-QCT Building(s)</v>
      </c>
      <c r="Z7" s="2515"/>
      <c r="AA7" s="2515"/>
      <c r="AB7" s="2515"/>
      <c r="AC7" s="2515"/>
      <c r="AD7" s="2515" t="str">
        <f xml:space="preserve"> IF(T25=100%, 'Sources and Basis Breakdown'!J2,'Sources and Basis Breakdown'!I2)</f>
        <v>30% PVC for Acquisition
DDA/QCT Building(s)</v>
      </c>
      <c r="AE7" s="2515"/>
      <c r="AF7" s="2515"/>
      <c r="AG7" s="2515"/>
      <c r="AH7" s="2515"/>
      <c r="AI7" s="2515" t="str">
        <f>IF(T25=100%," ",'Sources and Basis Breakdown'!J2)</f>
        <v>30% PVC for Acquisition
NON-DDA/
NON-QCT Building(s)</v>
      </c>
      <c r="AJ7" s="2515"/>
      <c r="AK7" s="2515"/>
      <c r="AL7" s="2515"/>
      <c r="AM7" s="2515"/>
    </row>
    <row r="8" spans="1:40" ht="12.95" customHeight="1">
      <c r="B8" s="439"/>
      <c r="T8" s="2515"/>
      <c r="U8" s="2515"/>
      <c r="V8" s="2515"/>
      <c r="W8" s="2515"/>
      <c r="X8" s="2515"/>
      <c r="Y8" s="2515"/>
      <c r="Z8" s="2515"/>
      <c r="AA8" s="2515"/>
      <c r="AB8" s="2515"/>
      <c r="AC8" s="2515"/>
      <c r="AD8" s="2515"/>
      <c r="AE8" s="2515"/>
      <c r="AF8" s="2515"/>
      <c r="AG8" s="2515"/>
      <c r="AH8" s="2515"/>
      <c r="AI8" s="2515"/>
      <c r="AJ8" s="2515"/>
      <c r="AK8" s="2515"/>
      <c r="AL8" s="2515"/>
      <c r="AM8" s="2515"/>
    </row>
    <row r="9" spans="1:40" ht="12.95" customHeight="1">
      <c r="B9" s="439"/>
      <c r="T9" s="2515"/>
      <c r="U9" s="2515"/>
      <c r="V9" s="2515"/>
      <c r="W9" s="2515"/>
      <c r="X9" s="2515"/>
      <c r="Y9" s="2515"/>
      <c r="Z9" s="2515"/>
      <c r="AA9" s="2515"/>
      <c r="AB9" s="2515"/>
      <c r="AC9" s="2515"/>
      <c r="AD9" s="2515"/>
      <c r="AE9" s="2515"/>
      <c r="AF9" s="2515"/>
      <c r="AG9" s="2515"/>
      <c r="AH9" s="2515"/>
      <c r="AI9" s="2515"/>
      <c r="AJ9" s="2515"/>
      <c r="AK9" s="2515"/>
      <c r="AL9" s="2515"/>
      <c r="AM9" s="2515"/>
    </row>
    <row r="10" spans="1:40" ht="12.95" customHeight="1">
      <c r="B10" s="440"/>
      <c r="C10" s="441"/>
      <c r="D10" s="441"/>
      <c r="E10" s="441"/>
      <c r="F10" s="441"/>
      <c r="G10" s="441"/>
      <c r="H10" s="441"/>
      <c r="I10" s="441"/>
      <c r="J10" s="441"/>
      <c r="K10" s="441"/>
      <c r="L10" s="441"/>
      <c r="M10" s="441"/>
      <c r="N10" s="441"/>
      <c r="O10" s="441"/>
      <c r="P10" s="441"/>
      <c r="Q10" s="441"/>
      <c r="R10" s="441"/>
      <c r="S10" s="441"/>
      <c r="T10" s="2515"/>
      <c r="U10" s="2515"/>
      <c r="V10" s="2515"/>
      <c r="W10" s="2515"/>
      <c r="X10" s="2515"/>
      <c r="Y10" s="2515"/>
      <c r="Z10" s="2515"/>
      <c r="AA10" s="2515"/>
      <c r="AB10" s="2515"/>
      <c r="AC10" s="2515"/>
      <c r="AD10" s="2515"/>
      <c r="AE10" s="2515"/>
      <c r="AF10" s="2515"/>
      <c r="AG10" s="2515"/>
      <c r="AH10" s="2515"/>
      <c r="AI10" s="2515"/>
      <c r="AJ10" s="2515"/>
      <c r="AK10" s="2515"/>
      <c r="AL10" s="2515"/>
      <c r="AM10" s="2515"/>
    </row>
    <row r="11" spans="1:40" ht="12.95" customHeight="1">
      <c r="B11" s="2494" t="s">
        <v>377</v>
      </c>
      <c r="C11" s="2495"/>
      <c r="D11" s="2495"/>
      <c r="E11" s="2495"/>
      <c r="F11" s="2495"/>
      <c r="G11" s="2495"/>
      <c r="H11" s="2495"/>
      <c r="I11" s="2495"/>
      <c r="J11" s="2495"/>
      <c r="K11" s="2495"/>
      <c r="L11" s="2495"/>
      <c r="M11" s="2495"/>
      <c r="N11" s="2495"/>
      <c r="O11" s="2495"/>
      <c r="P11" s="2495"/>
      <c r="Q11" s="2495"/>
      <c r="R11" s="2495"/>
      <c r="S11" s="2496"/>
      <c r="T11" s="2516">
        <f>IF('Sources and Basis Breakdown'!F107=0,'Sources and Basis Breakdown'!E107,'Sources and Basis Breakdown'!F107)</f>
        <v>37449473</v>
      </c>
      <c r="U11" s="2517"/>
      <c r="V11" s="2517"/>
      <c r="W11" s="2517"/>
      <c r="X11" s="2517"/>
      <c r="Y11" s="2516">
        <f>IF(Y7=" ",0,IF('Sources and Basis Breakdown'!G107+'Sources and Basis Breakdown'!F107='Sources and Basis Breakdown'!E107,'Sources and Basis Breakdown'!G107,0))</f>
        <v>0</v>
      </c>
      <c r="Z11" s="2517"/>
      <c r="AA11" s="2517"/>
      <c r="AB11" s="2517"/>
      <c r="AC11" s="2517"/>
      <c r="AD11" s="2517">
        <f>IF('Sources and Basis Breakdown'!I107=0,'Sources and Basis Breakdown'!H107,'Sources and Basis Breakdown'!I107)</f>
        <v>0</v>
      </c>
      <c r="AE11" s="2517"/>
      <c r="AF11" s="2517"/>
      <c r="AG11" s="2517"/>
      <c r="AH11" s="2517"/>
      <c r="AI11" s="2517">
        <f>IF(Y7=" ",0,IF('Sources and Basis Breakdown'!I107+'Sources and Basis Breakdown'!J107='Sources and Basis Breakdown'!H107,'Sources and Basis Breakdown'!J107,0))</f>
        <v>0</v>
      </c>
      <c r="AJ11" s="2517"/>
      <c r="AK11" s="2517"/>
      <c r="AL11" s="2517"/>
      <c r="AM11" s="2517"/>
    </row>
    <row r="12" spans="1:40" ht="12.95" customHeight="1">
      <c r="B12" s="2509" t="s">
        <v>507</v>
      </c>
      <c r="C12" s="1281"/>
      <c r="D12" s="1281"/>
      <c r="E12" s="1281"/>
      <c r="F12" s="1281"/>
      <c r="G12" s="1281"/>
      <c r="H12" s="1281"/>
      <c r="I12" s="1281"/>
      <c r="J12" s="1281"/>
      <c r="K12" s="1281"/>
      <c r="L12" s="1281"/>
      <c r="M12" s="1281"/>
      <c r="N12" s="1281"/>
      <c r="O12" s="1281"/>
      <c r="P12" s="1281"/>
      <c r="Q12" s="1281"/>
      <c r="R12" s="1281"/>
      <c r="S12" s="2510"/>
      <c r="T12" s="2482"/>
      <c r="U12" s="2483"/>
      <c r="V12" s="2483"/>
      <c r="W12" s="2483"/>
      <c r="X12" s="2484"/>
      <c r="Y12" s="2482"/>
      <c r="Z12" s="2483"/>
      <c r="AA12" s="2483"/>
      <c r="AB12" s="2483"/>
      <c r="AC12" s="2484"/>
      <c r="AD12" s="2482"/>
      <c r="AE12" s="2483"/>
      <c r="AF12" s="2483"/>
      <c r="AG12" s="2483"/>
      <c r="AH12" s="2484"/>
      <c r="AI12" s="2482"/>
      <c r="AJ12" s="2483"/>
      <c r="AK12" s="2483"/>
      <c r="AL12" s="2483"/>
      <c r="AM12" s="2484"/>
    </row>
    <row r="13" spans="1:40" ht="12.95" customHeight="1">
      <c r="B13" s="468"/>
      <c r="C13" s="2511" t="s">
        <v>508</v>
      </c>
      <c r="D13" s="2511"/>
      <c r="E13" s="2511"/>
      <c r="F13" s="2511"/>
      <c r="G13" s="2511"/>
      <c r="H13" s="2511"/>
      <c r="I13" s="2511"/>
      <c r="J13" s="2511"/>
      <c r="K13" s="2511"/>
      <c r="L13" s="2511"/>
      <c r="M13" s="2511"/>
      <c r="N13" s="2511"/>
      <c r="O13" s="2511"/>
      <c r="P13" s="2511"/>
      <c r="Q13" s="2511"/>
      <c r="R13" s="2511"/>
      <c r="S13" s="2512"/>
      <c r="T13" s="2518"/>
      <c r="U13" s="2519"/>
      <c r="V13" s="2519"/>
      <c r="W13" s="2519"/>
      <c r="X13" s="2519"/>
      <c r="Y13" s="2518"/>
      <c r="Z13" s="2519"/>
      <c r="AA13" s="2519"/>
      <c r="AB13" s="2519"/>
      <c r="AC13" s="2519"/>
      <c r="AD13" s="2519"/>
      <c r="AE13" s="2519"/>
      <c r="AF13" s="2519"/>
      <c r="AG13" s="2519"/>
      <c r="AH13" s="2519"/>
      <c r="AI13" s="2519"/>
      <c r="AJ13" s="2519"/>
      <c r="AK13" s="2519"/>
      <c r="AL13" s="2519"/>
      <c r="AM13" s="2519"/>
    </row>
    <row r="14" spans="1:40" ht="12.95" customHeight="1">
      <c r="B14" s="468"/>
      <c r="C14" s="2511" t="s">
        <v>509</v>
      </c>
      <c r="D14" s="2511"/>
      <c r="E14" s="2511"/>
      <c r="F14" s="2511"/>
      <c r="G14" s="2511"/>
      <c r="H14" s="2511"/>
      <c r="I14" s="2511"/>
      <c r="J14" s="2511"/>
      <c r="K14" s="2511"/>
      <c r="L14" s="2511"/>
      <c r="M14" s="2511"/>
      <c r="N14" s="2511"/>
      <c r="O14" s="2511"/>
      <c r="P14" s="2511"/>
      <c r="Q14" s="2511"/>
      <c r="R14" s="2511"/>
      <c r="S14" s="2512"/>
      <c r="T14" s="2485"/>
      <c r="U14" s="2486"/>
      <c r="V14" s="2486"/>
      <c r="W14" s="2486"/>
      <c r="X14" s="2486"/>
      <c r="Y14" s="2485"/>
      <c r="Z14" s="2486"/>
      <c r="AA14" s="2486"/>
      <c r="AB14" s="2486"/>
      <c r="AC14" s="2486"/>
      <c r="AD14" s="2486"/>
      <c r="AE14" s="2486"/>
      <c r="AF14" s="2486"/>
      <c r="AG14" s="2486"/>
      <c r="AH14" s="2486"/>
      <c r="AI14" s="2486"/>
      <c r="AJ14" s="2486"/>
      <c r="AK14" s="2486"/>
      <c r="AL14" s="2486"/>
      <c r="AM14" s="2486"/>
    </row>
    <row r="15" spans="1:40" ht="12.95" customHeight="1">
      <c r="B15" s="468"/>
      <c r="C15" s="2511" t="s">
        <v>510</v>
      </c>
      <c r="D15" s="2511"/>
      <c r="E15" s="2511"/>
      <c r="F15" s="2511"/>
      <c r="G15" s="2511"/>
      <c r="H15" s="2511"/>
      <c r="I15" s="2511"/>
      <c r="J15" s="2511"/>
      <c r="K15" s="2511"/>
      <c r="L15" s="2511"/>
      <c r="M15" s="2511"/>
      <c r="N15" s="2511"/>
      <c r="O15" s="2511"/>
      <c r="P15" s="2511"/>
      <c r="Q15" s="2511"/>
      <c r="R15" s="2511"/>
      <c r="S15" s="2512"/>
      <c r="T15" s="2485"/>
      <c r="U15" s="2486"/>
      <c r="V15" s="2486"/>
      <c r="W15" s="2486"/>
      <c r="X15" s="2486"/>
      <c r="Y15" s="2485"/>
      <c r="Z15" s="2486"/>
      <c r="AA15" s="2486"/>
      <c r="AB15" s="2486"/>
      <c r="AC15" s="2486"/>
      <c r="AD15" s="2486"/>
      <c r="AE15" s="2486"/>
      <c r="AF15" s="2486"/>
      <c r="AG15" s="2486"/>
      <c r="AH15" s="2486"/>
      <c r="AI15" s="2486"/>
      <c r="AJ15" s="2486"/>
      <c r="AK15" s="2486"/>
      <c r="AL15" s="2486"/>
      <c r="AM15" s="2486"/>
    </row>
    <row r="16" spans="1:40" ht="12.95" customHeight="1">
      <c r="B16" s="468"/>
      <c r="C16" s="2511" t="s">
        <v>831</v>
      </c>
      <c r="D16" s="2511"/>
      <c r="E16" s="2511"/>
      <c r="F16" s="2511"/>
      <c r="G16" s="2511"/>
      <c r="H16" s="2511"/>
      <c r="I16" s="2511"/>
      <c r="J16" s="2511"/>
      <c r="K16" s="2511"/>
      <c r="L16" s="2511"/>
      <c r="M16" s="2511"/>
      <c r="N16" s="2511"/>
      <c r="O16" s="2511"/>
      <c r="P16" s="2511"/>
      <c r="Q16" s="2511"/>
      <c r="R16" s="2511"/>
      <c r="S16" s="2512"/>
      <c r="T16" s="2485"/>
      <c r="U16" s="2486"/>
      <c r="V16" s="2486"/>
      <c r="W16" s="2486"/>
      <c r="X16" s="2486"/>
      <c r="Y16" s="2485"/>
      <c r="Z16" s="2486"/>
      <c r="AA16" s="2486"/>
      <c r="AB16" s="2486"/>
      <c r="AC16" s="2486"/>
      <c r="AD16" s="2486"/>
      <c r="AE16" s="2486"/>
      <c r="AF16" s="2486"/>
      <c r="AG16" s="2486"/>
      <c r="AH16" s="2486"/>
      <c r="AI16" s="2486"/>
      <c r="AJ16" s="2486"/>
      <c r="AK16" s="2486"/>
      <c r="AL16" s="2486"/>
      <c r="AM16" s="2486"/>
    </row>
    <row r="17" spans="1:40" ht="12.95" customHeight="1">
      <c r="B17" s="468"/>
      <c r="C17" s="2511" t="s">
        <v>511</v>
      </c>
      <c r="D17" s="2511"/>
      <c r="E17" s="2511"/>
      <c r="F17" s="2511"/>
      <c r="G17" s="2511"/>
      <c r="H17" s="2511"/>
      <c r="I17" s="2511"/>
      <c r="J17" s="2511"/>
      <c r="K17" s="2511"/>
      <c r="L17" s="2511"/>
      <c r="M17" s="2511"/>
      <c r="N17" s="2511"/>
      <c r="O17" s="2511"/>
      <c r="P17" s="2511"/>
      <c r="Q17" s="2511"/>
      <c r="R17" s="2511"/>
      <c r="S17" s="2512"/>
      <c r="T17" s="2485"/>
      <c r="U17" s="2486"/>
      <c r="V17" s="2486"/>
      <c r="W17" s="2486"/>
      <c r="X17" s="2486"/>
      <c r="Y17" s="2485"/>
      <c r="Z17" s="2486"/>
      <c r="AA17" s="2486"/>
      <c r="AB17" s="2486"/>
      <c r="AC17" s="2486"/>
      <c r="AD17" s="2486"/>
      <c r="AE17" s="2486"/>
      <c r="AF17" s="2486"/>
      <c r="AG17" s="2486"/>
      <c r="AH17" s="2486"/>
      <c r="AI17" s="2486"/>
      <c r="AJ17" s="2486"/>
      <c r="AK17" s="2486"/>
      <c r="AL17" s="2486"/>
      <c r="AM17" s="2486"/>
    </row>
    <row r="18" spans="1:40" ht="12.95" customHeight="1">
      <c r="A18"/>
      <c r="B18" s="1203"/>
      <c r="C18" s="1683" t="s">
        <v>1000</v>
      </c>
      <c r="D18" s="1683"/>
      <c r="E18" s="1683"/>
      <c r="F18" s="1683"/>
      <c r="G18" s="1683"/>
      <c r="H18" s="1683"/>
      <c r="I18" s="1683"/>
      <c r="J18" s="1683"/>
      <c r="K18" s="1683"/>
      <c r="L18" s="1683"/>
      <c r="M18" s="1683"/>
      <c r="N18" s="1683"/>
      <c r="O18" s="1683"/>
      <c r="P18" s="1683"/>
      <c r="Q18" s="1683"/>
      <c r="R18" s="1683"/>
      <c r="S18" s="1684"/>
      <c r="T18" s="2485"/>
      <c r="U18" s="2486"/>
      <c r="V18" s="2486"/>
      <c r="W18" s="2486"/>
      <c r="X18" s="2486"/>
      <c r="Y18" s="2485"/>
      <c r="Z18" s="2486"/>
      <c r="AA18" s="2486"/>
      <c r="AB18" s="2486"/>
      <c r="AC18" s="2486"/>
      <c r="AD18" s="2486"/>
      <c r="AE18" s="2486"/>
      <c r="AF18" s="2486"/>
      <c r="AG18" s="2486"/>
      <c r="AH18" s="2486"/>
      <c r="AI18" s="2486"/>
      <c r="AJ18" s="2486"/>
      <c r="AK18" s="2486"/>
      <c r="AL18" s="2486"/>
      <c r="AM18" s="2486"/>
    </row>
    <row r="19" spans="1:40" ht="12.95" customHeight="1">
      <c r="B19" s="1203"/>
      <c r="C19" s="1683" t="s">
        <v>1000</v>
      </c>
      <c r="D19" s="1683"/>
      <c r="E19" s="1683"/>
      <c r="F19" s="1683"/>
      <c r="G19" s="1683"/>
      <c r="H19" s="1683"/>
      <c r="I19" s="1683"/>
      <c r="J19" s="1683"/>
      <c r="K19" s="1683"/>
      <c r="L19" s="1683"/>
      <c r="M19" s="1683"/>
      <c r="N19" s="1683"/>
      <c r="O19" s="1683"/>
      <c r="P19" s="1683"/>
      <c r="Q19" s="1683"/>
      <c r="R19" s="1683"/>
      <c r="S19" s="1684"/>
      <c r="T19" s="2485"/>
      <c r="U19" s="2486"/>
      <c r="V19" s="2486"/>
      <c r="W19" s="2486"/>
      <c r="X19" s="2486"/>
      <c r="Y19" s="2485"/>
      <c r="Z19" s="2486"/>
      <c r="AA19" s="2486"/>
      <c r="AB19" s="2486"/>
      <c r="AC19" s="2486"/>
      <c r="AD19" s="2486"/>
      <c r="AE19" s="2486"/>
      <c r="AF19" s="2486"/>
      <c r="AG19" s="2486"/>
      <c r="AH19" s="2486"/>
      <c r="AI19" s="2486"/>
      <c r="AJ19" s="2486"/>
      <c r="AK19" s="2486"/>
      <c r="AL19" s="2486"/>
      <c r="AM19" s="2486"/>
    </row>
    <row r="20" spans="1:40" ht="12.95" customHeight="1">
      <c r="B20" s="2494" t="s">
        <v>512</v>
      </c>
      <c r="C20" s="2495"/>
      <c r="D20" s="2495"/>
      <c r="E20" s="2495"/>
      <c r="F20" s="2495"/>
      <c r="G20" s="2495"/>
      <c r="H20" s="2495"/>
      <c r="I20" s="2495"/>
      <c r="J20" s="2495"/>
      <c r="K20" s="2495"/>
      <c r="L20" s="2495"/>
      <c r="M20" s="2495"/>
      <c r="N20" s="2495"/>
      <c r="O20" s="2495"/>
      <c r="P20" s="2495"/>
      <c r="Q20" s="2495"/>
      <c r="R20" s="2495"/>
      <c r="S20" s="2496"/>
      <c r="T20" s="2487">
        <f>SUM(T13:X19)</f>
        <v>0</v>
      </c>
      <c r="U20" s="2488"/>
      <c r="V20" s="2488"/>
      <c r="W20" s="2488"/>
      <c r="X20" s="2488"/>
      <c r="Y20" s="2487">
        <f>SUM(Y13:AC19)</f>
        <v>0</v>
      </c>
      <c r="Z20" s="2488"/>
      <c r="AA20" s="2488"/>
      <c r="AB20" s="2488"/>
      <c r="AC20" s="2488"/>
      <c r="AD20" s="2489">
        <f>SUM(AD13:AH19)</f>
        <v>0</v>
      </c>
      <c r="AE20" s="2490"/>
      <c r="AF20" s="2490"/>
      <c r="AG20" s="2490"/>
      <c r="AH20" s="2487"/>
      <c r="AI20" s="2489">
        <f>SUM(AI13:AM19)</f>
        <v>0</v>
      </c>
      <c r="AJ20" s="2490"/>
      <c r="AK20" s="2490"/>
      <c r="AL20" s="2490"/>
      <c r="AM20" s="2487"/>
    </row>
    <row r="21" spans="1:40" ht="12.95" customHeight="1">
      <c r="B21" s="2494" t="s">
        <v>1421</v>
      </c>
      <c r="C21" s="2495"/>
      <c r="D21" s="2495"/>
      <c r="E21" s="2495"/>
      <c r="F21" s="2495"/>
      <c r="G21" s="2495"/>
      <c r="H21" s="2495"/>
      <c r="I21" s="2495"/>
      <c r="J21" s="2495"/>
      <c r="K21" s="2495"/>
      <c r="L21" s="2495"/>
      <c r="M21" s="2495"/>
      <c r="N21" s="2495"/>
      <c r="O21" s="2495"/>
      <c r="P21" s="2495"/>
      <c r="Q21" s="2495"/>
      <c r="R21" s="2495"/>
      <c r="S21" s="2496"/>
      <c r="T21" s="2485"/>
      <c r="U21" s="2486"/>
      <c r="V21" s="2486"/>
      <c r="W21" s="2486"/>
      <c r="X21" s="2486"/>
      <c r="Y21" s="2485"/>
      <c r="Z21" s="2486"/>
      <c r="AA21" s="2486"/>
      <c r="AB21" s="2486"/>
      <c r="AC21" s="2486"/>
      <c r="AD21" s="2482"/>
      <c r="AE21" s="2483"/>
      <c r="AF21" s="2483"/>
      <c r="AG21" s="2483"/>
      <c r="AH21" s="2484"/>
      <c r="AI21" s="2482"/>
      <c r="AJ21" s="2483"/>
      <c r="AK21" s="2483"/>
      <c r="AL21" s="2483"/>
      <c r="AM21" s="2484"/>
    </row>
    <row r="22" spans="1:40" ht="12.95" customHeight="1">
      <c r="B22" s="2494" t="s">
        <v>513</v>
      </c>
      <c r="C22" s="2495"/>
      <c r="D22" s="2495"/>
      <c r="E22" s="2495"/>
      <c r="F22" s="2495"/>
      <c r="G22" s="2495"/>
      <c r="H22" s="2495"/>
      <c r="I22" s="2495"/>
      <c r="J22" s="2495"/>
      <c r="K22" s="2495"/>
      <c r="L22" s="2495"/>
      <c r="M22" s="2495"/>
      <c r="N22" s="2495"/>
      <c r="O22" s="2495"/>
      <c r="P22" s="2495"/>
      <c r="Q22" s="2495"/>
      <c r="R22" s="2495"/>
      <c r="S22" s="2496"/>
      <c r="T22" s="2520">
        <f>(ABS(T20)+ABS(T21))*-1</f>
        <v>0</v>
      </c>
      <c r="U22" s="2521"/>
      <c r="V22" s="2521"/>
      <c r="W22" s="2521"/>
      <c r="X22" s="2521"/>
      <c r="Y22" s="2520">
        <f>(Y20+Y21)*-1</f>
        <v>0</v>
      </c>
      <c r="Z22" s="2521"/>
      <c r="AA22" s="2521"/>
      <c r="AB22" s="2521"/>
      <c r="AC22" s="2521"/>
      <c r="AD22" s="2522">
        <f>(AD20)*-1</f>
        <v>0</v>
      </c>
      <c r="AE22" s="2523"/>
      <c r="AF22" s="2523"/>
      <c r="AG22" s="2523"/>
      <c r="AH22" s="2520"/>
      <c r="AI22" s="2522">
        <f>(AI20)*-1</f>
        <v>0</v>
      </c>
      <c r="AJ22" s="2523"/>
      <c r="AK22" s="2523"/>
      <c r="AL22" s="2523"/>
      <c r="AM22" s="2520"/>
    </row>
    <row r="23" spans="1:40" ht="12.95" customHeight="1">
      <c r="B23" s="2494" t="s">
        <v>514</v>
      </c>
      <c r="C23" s="2495"/>
      <c r="D23" s="2495"/>
      <c r="E23" s="2495"/>
      <c r="F23" s="2495"/>
      <c r="G23" s="2495"/>
      <c r="H23" s="2495"/>
      <c r="I23" s="2495"/>
      <c r="J23" s="2495"/>
      <c r="K23" s="2495"/>
      <c r="L23" s="2495"/>
      <c r="M23" s="2495"/>
      <c r="N23" s="2495"/>
      <c r="O23" s="2495"/>
      <c r="P23" s="2495"/>
      <c r="Q23" s="2495"/>
      <c r="R23" s="2495"/>
      <c r="S23" s="2496"/>
      <c r="T23" s="2487">
        <f>T11+T22</f>
        <v>37449473</v>
      </c>
      <c r="U23" s="2488"/>
      <c r="V23" s="2488"/>
      <c r="W23" s="2488"/>
      <c r="X23" s="2488"/>
      <c r="Y23" s="2487">
        <f>Y11+Y22</f>
        <v>0</v>
      </c>
      <c r="Z23" s="2488"/>
      <c r="AA23" s="2488"/>
      <c r="AB23" s="2488"/>
      <c r="AC23" s="2488"/>
      <c r="AD23" s="2487">
        <f>AD11+AD22</f>
        <v>0</v>
      </c>
      <c r="AE23" s="2488"/>
      <c r="AF23" s="2488"/>
      <c r="AG23" s="2488"/>
      <c r="AH23" s="2488"/>
      <c r="AI23" s="2487">
        <f>AI11+AI22</f>
        <v>0</v>
      </c>
      <c r="AJ23" s="2488"/>
      <c r="AK23" s="2488"/>
      <c r="AL23" s="2488"/>
      <c r="AM23" s="2488"/>
    </row>
    <row r="24" spans="1:40" ht="12.95" customHeight="1">
      <c r="B24" s="2494" t="s">
        <v>1001</v>
      </c>
      <c r="C24" s="2495"/>
      <c r="D24" s="2495"/>
      <c r="E24" s="2495"/>
      <c r="F24" s="2495"/>
      <c r="G24" s="2495"/>
      <c r="H24" s="2495"/>
      <c r="I24" s="2495"/>
      <c r="J24" s="2495"/>
      <c r="K24" s="2495"/>
      <c r="L24" s="2495"/>
      <c r="M24" s="2495"/>
      <c r="N24" s="2495"/>
      <c r="O24" s="2495"/>
      <c r="P24" s="2495"/>
      <c r="Q24" s="2495"/>
      <c r="R24" s="2495"/>
      <c r="S24" s="2496"/>
      <c r="T24" s="2489">
        <f>Application!AJ1018</f>
        <v>73683773.879999995</v>
      </c>
      <c r="U24" s="2490"/>
      <c r="V24" s="2490"/>
      <c r="W24" s="2490"/>
      <c r="X24" s="2490"/>
      <c r="Y24" s="2490"/>
      <c r="Z24" s="2490"/>
      <c r="AA24" s="2490"/>
      <c r="AB24" s="2490"/>
      <c r="AC24" s="2490"/>
      <c r="AD24" s="2490"/>
      <c r="AE24" s="2490"/>
      <c r="AF24" s="2490"/>
      <c r="AG24" s="2490"/>
      <c r="AH24" s="2490"/>
      <c r="AI24" s="2490"/>
      <c r="AJ24" s="2490"/>
      <c r="AK24" s="2490"/>
      <c r="AL24" s="2490"/>
      <c r="AM24" s="2487"/>
    </row>
    <row r="25" spans="1:40" ht="12.95" customHeight="1">
      <c r="B25" s="2498" t="s">
        <v>1422</v>
      </c>
      <c r="C25" s="2499"/>
      <c r="D25" s="2499"/>
      <c r="E25" s="2499"/>
      <c r="F25" s="2499"/>
      <c r="G25" s="2499"/>
      <c r="H25" s="2499"/>
      <c r="I25" s="2499"/>
      <c r="J25" s="2499"/>
      <c r="K25" s="2499"/>
      <c r="L25" s="2499"/>
      <c r="M25" s="2499"/>
      <c r="N25" s="2499"/>
      <c r="O25" s="2499"/>
      <c r="P25" s="2499"/>
      <c r="Q25" s="2499"/>
      <c r="R25" s="2499"/>
      <c r="S25" s="2500"/>
      <c r="T25" s="2524">
        <f>IF(OR(Application!T195="yes",Application!T194="yes"),1.3,1)</f>
        <v>1.3</v>
      </c>
      <c r="U25" s="2525"/>
      <c r="V25" s="2525"/>
      <c r="W25" s="2525"/>
      <c r="X25" s="2525"/>
      <c r="Y25" s="2524">
        <v>1</v>
      </c>
      <c r="Z25" s="2525"/>
      <c r="AA25" s="2525"/>
      <c r="AB25" s="2525"/>
      <c r="AC25" s="2525"/>
      <c r="AD25" s="2524">
        <v>1</v>
      </c>
      <c r="AE25" s="2525"/>
      <c r="AF25" s="2525"/>
      <c r="AG25" s="2525"/>
      <c r="AH25" s="2526"/>
      <c r="AI25" s="2524">
        <v>1</v>
      </c>
      <c r="AJ25" s="2525"/>
      <c r="AK25" s="2525"/>
      <c r="AL25" s="2525"/>
      <c r="AM25" s="2526"/>
    </row>
    <row r="26" spans="1:40" ht="12.95" customHeight="1">
      <c r="B26" s="2494" t="s">
        <v>515</v>
      </c>
      <c r="C26" s="2495"/>
      <c r="D26" s="2495"/>
      <c r="E26" s="2495"/>
      <c r="F26" s="2495"/>
      <c r="G26" s="2495"/>
      <c r="H26" s="2495"/>
      <c r="I26" s="2495"/>
      <c r="J26" s="2495"/>
      <c r="K26" s="2495"/>
      <c r="L26" s="2495"/>
      <c r="M26" s="2495"/>
      <c r="N26" s="2495"/>
      <c r="O26" s="2495"/>
      <c r="P26" s="2495"/>
      <c r="Q26" s="2495"/>
      <c r="R26" s="2495"/>
      <c r="S26" s="2496"/>
      <c r="T26" s="2487">
        <f>T23*T25</f>
        <v>48684314.899999999</v>
      </c>
      <c r="U26" s="2488"/>
      <c r="V26" s="2488"/>
      <c r="W26" s="2488"/>
      <c r="X26" s="2488"/>
      <c r="Y26" s="2487">
        <f>Y23*Y25</f>
        <v>0</v>
      </c>
      <c r="Z26" s="2488"/>
      <c r="AA26" s="2488"/>
      <c r="AB26" s="2488"/>
      <c r="AC26" s="2488"/>
      <c r="AD26" s="2487">
        <f>AD23*AD25</f>
        <v>0</v>
      </c>
      <c r="AE26" s="2488"/>
      <c r="AF26" s="2488"/>
      <c r="AG26" s="2488"/>
      <c r="AH26" s="2488"/>
      <c r="AI26" s="2487">
        <f>AI23*AI25</f>
        <v>0</v>
      </c>
      <c r="AJ26" s="2488"/>
      <c r="AK26" s="2488"/>
      <c r="AL26" s="2488"/>
      <c r="AM26" s="2488"/>
    </row>
    <row r="27" spans="1:40" ht="12.95" customHeight="1">
      <c r="A27" s="442"/>
      <c r="B27" s="2501" t="s">
        <v>428</v>
      </c>
      <c r="C27" s="2502"/>
      <c r="D27" s="2502"/>
      <c r="E27" s="2502"/>
      <c r="F27" s="2502"/>
      <c r="G27" s="2502"/>
      <c r="H27" s="2502"/>
      <c r="I27" s="2502"/>
      <c r="J27" s="2502"/>
      <c r="K27" s="2502"/>
      <c r="L27" s="2502"/>
      <c r="M27" s="2502"/>
      <c r="N27" s="2502"/>
      <c r="O27" s="2502"/>
      <c r="P27" s="2502"/>
      <c r="Q27" s="2502"/>
      <c r="R27" s="2502"/>
      <c r="S27" s="2503"/>
      <c r="T27" s="2507">
        <f>Application!$AG$444</f>
        <v>1</v>
      </c>
      <c r="U27" s="2508"/>
      <c r="V27" s="2508"/>
      <c r="W27" s="2508"/>
      <c r="X27" s="2508"/>
      <c r="Y27" s="2507">
        <f>Application!$AG$444</f>
        <v>1</v>
      </c>
      <c r="Z27" s="2508"/>
      <c r="AA27" s="2508"/>
      <c r="AB27" s="2508"/>
      <c r="AC27" s="2508"/>
      <c r="AD27" s="2507">
        <f>Application!$AG$444</f>
        <v>1</v>
      </c>
      <c r="AE27" s="2508"/>
      <c r="AF27" s="2508"/>
      <c r="AG27" s="2508"/>
      <c r="AH27" s="2508"/>
      <c r="AI27" s="2507">
        <f>Application!$AG$444</f>
        <v>1</v>
      </c>
      <c r="AJ27" s="2508"/>
      <c r="AK27" s="2508"/>
      <c r="AL27" s="2508"/>
      <c r="AM27" s="2508"/>
    </row>
    <row r="28" spans="1:40" ht="12.95" customHeight="1">
      <c r="A28" s="436"/>
      <c r="B28" s="2494" t="s">
        <v>516</v>
      </c>
      <c r="C28" s="2495"/>
      <c r="D28" s="2495"/>
      <c r="E28" s="2495"/>
      <c r="F28" s="2495"/>
      <c r="G28" s="2495"/>
      <c r="H28" s="2495"/>
      <c r="I28" s="2495"/>
      <c r="J28" s="2495"/>
      <c r="K28" s="2495"/>
      <c r="L28" s="2495"/>
      <c r="M28" s="2495"/>
      <c r="N28" s="2495"/>
      <c r="O28" s="2495"/>
      <c r="P28" s="2495"/>
      <c r="Q28" s="2495"/>
      <c r="R28" s="2495"/>
      <c r="S28" s="2496"/>
      <c r="T28" s="2487">
        <f>IF(ISERROR((T26*T27)),0,(T26*T27))</f>
        <v>48684314.899999999</v>
      </c>
      <c r="U28" s="2488"/>
      <c r="V28" s="2488"/>
      <c r="W28" s="2488"/>
      <c r="X28" s="2488"/>
      <c r="Y28" s="2487">
        <f>IF(ISERROR((Y26*Y27)),0,(Y26*Y27))</f>
        <v>0</v>
      </c>
      <c r="Z28" s="2488"/>
      <c r="AA28" s="2488"/>
      <c r="AB28" s="2488"/>
      <c r="AC28" s="2488"/>
      <c r="AD28" s="2487">
        <f>IF(ISERROR((AD26*AD27)),0,(AD26*AD27))</f>
        <v>0</v>
      </c>
      <c r="AE28" s="2488"/>
      <c r="AF28" s="2488"/>
      <c r="AG28" s="2488"/>
      <c r="AH28" s="2488"/>
      <c r="AI28" s="2487">
        <f>IF(ISERROR((AI26*AI27)),0,(AI26*AI27))</f>
        <v>0</v>
      </c>
      <c r="AJ28" s="2488"/>
      <c r="AK28" s="2488"/>
      <c r="AL28" s="2488"/>
      <c r="AM28" s="2488"/>
    </row>
    <row r="29" spans="1:40" ht="12.95" customHeight="1">
      <c r="B29" s="2494" t="s">
        <v>533</v>
      </c>
      <c r="C29" s="2495"/>
      <c r="D29" s="2495"/>
      <c r="E29" s="2495"/>
      <c r="F29" s="2495"/>
      <c r="G29" s="2495"/>
      <c r="H29" s="2495"/>
      <c r="I29" s="2495"/>
      <c r="J29" s="2495"/>
      <c r="K29" s="2495"/>
      <c r="L29" s="2495"/>
      <c r="M29" s="2495"/>
      <c r="N29" s="2495"/>
      <c r="O29" s="2495"/>
      <c r="P29" s="2495"/>
      <c r="Q29" s="2495"/>
      <c r="R29" s="2495"/>
      <c r="S29" s="2496"/>
      <c r="T29" s="2489">
        <f>T28+Y28+AD28+AI28</f>
        <v>48684314.899999999</v>
      </c>
      <c r="U29" s="2490"/>
      <c r="V29" s="2490"/>
      <c r="W29" s="2490"/>
      <c r="X29" s="2490"/>
      <c r="Y29" s="2490"/>
      <c r="Z29" s="2490"/>
      <c r="AA29" s="2490"/>
      <c r="AB29" s="2490"/>
      <c r="AC29" s="2490"/>
      <c r="AD29" s="2490"/>
      <c r="AE29" s="2490"/>
      <c r="AF29" s="2490"/>
      <c r="AG29" s="2490"/>
      <c r="AH29" s="2490"/>
      <c r="AI29" s="2490"/>
      <c r="AJ29" s="2490"/>
      <c r="AK29" s="2490"/>
      <c r="AL29" s="2490"/>
      <c r="AM29" s="2487"/>
    </row>
    <row r="30" spans="1:40" ht="12.95" customHeight="1">
      <c r="B30" s="2497" t="s">
        <v>1424</v>
      </c>
      <c r="C30" s="2497"/>
      <c r="D30" s="2497"/>
      <c r="E30" s="2497"/>
      <c r="F30" s="2497"/>
      <c r="G30" s="2497"/>
      <c r="H30" s="2497"/>
      <c r="I30" s="2497"/>
      <c r="J30" s="2497"/>
      <c r="K30" s="2497"/>
      <c r="L30" s="2497"/>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row>
    <row r="31" spans="1:40" ht="12.95" customHeight="1">
      <c r="B31" s="2497" t="s">
        <v>1423</v>
      </c>
      <c r="C31" s="2497"/>
      <c r="D31" s="2497"/>
      <c r="E31" s="2497"/>
      <c r="F31" s="2497"/>
      <c r="G31" s="2497"/>
      <c r="H31" s="2497"/>
      <c r="I31" s="2497"/>
      <c r="J31" s="2497"/>
      <c r="K31" s="2497"/>
      <c r="L31" s="2497"/>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5" t="s">
        <v>1293</v>
      </c>
      <c r="Z35" s="2515"/>
      <c r="AA35" s="2515"/>
      <c r="AB35" s="2515"/>
      <c r="AC35" s="2515"/>
      <c r="AD35" s="2538" t="s">
        <v>371</v>
      </c>
      <c r="AE35" s="2538"/>
      <c r="AF35" s="2538"/>
      <c r="AG35" s="2538"/>
      <c r="AH35" s="2538"/>
    </row>
    <row r="36" spans="1:76" ht="12.95" customHeight="1">
      <c r="B36" s="439"/>
      <c r="X36" s="444"/>
      <c r="Y36" s="2515"/>
      <c r="Z36" s="2515"/>
      <c r="AA36" s="2515"/>
      <c r="AB36" s="2515"/>
      <c r="AC36" s="2515"/>
      <c r="AD36" s="2538"/>
      <c r="AE36" s="2538"/>
      <c r="AF36" s="2538"/>
      <c r="AG36" s="2538"/>
      <c r="AH36" s="2538"/>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5"/>
      <c r="Z37" s="2515"/>
      <c r="AA37" s="2515"/>
      <c r="AB37" s="2515"/>
      <c r="AC37" s="2515"/>
      <c r="AD37" s="2538"/>
      <c r="AE37" s="2538"/>
      <c r="AF37" s="2538"/>
      <c r="AG37" s="2538"/>
      <c r="AH37" s="2538"/>
    </row>
    <row r="38" spans="1:76" ht="12.95" customHeight="1">
      <c r="A38" s="436"/>
      <c r="B38" s="2494" t="s">
        <v>516</v>
      </c>
      <c r="C38" s="2495"/>
      <c r="D38" s="2495"/>
      <c r="E38" s="2495"/>
      <c r="F38" s="2495"/>
      <c r="G38" s="2495"/>
      <c r="H38" s="2495"/>
      <c r="I38" s="2495"/>
      <c r="J38" s="2495"/>
      <c r="K38" s="2495"/>
      <c r="L38" s="2495"/>
      <c r="M38" s="2495"/>
      <c r="N38" s="2495"/>
      <c r="O38" s="2495"/>
      <c r="P38" s="2495"/>
      <c r="Q38" s="2495"/>
      <c r="R38" s="2495"/>
      <c r="S38" s="2495"/>
      <c r="T38" s="2495"/>
      <c r="U38" s="2495"/>
      <c r="V38" s="2495"/>
      <c r="W38" s="2495"/>
      <c r="X38" s="2496"/>
      <c r="Y38" s="2488">
        <f>IF(T24&gt;=(T23+Y23+AD23+AI23),T28+Y28,0)</f>
        <v>48684314.899999999</v>
      </c>
      <c r="Z38" s="2488"/>
      <c r="AA38" s="2488"/>
      <c r="AB38" s="2488"/>
      <c r="AC38" s="2488"/>
      <c r="AD38" s="2488">
        <f>IF(T24&gt;=(T23+Y23+AD23+AI23),AD28+AI28,0)</f>
        <v>0</v>
      </c>
      <c r="AE38" s="2488"/>
      <c r="AF38" s="2488"/>
      <c r="AG38" s="2488"/>
      <c r="AH38" s="2488"/>
    </row>
    <row r="39" spans="1:76" ht="12.95" customHeight="1">
      <c r="B39" s="2494" t="s">
        <v>1952</v>
      </c>
      <c r="C39" s="2495"/>
      <c r="D39" s="2495"/>
      <c r="E39" s="2495"/>
      <c r="F39" s="2495"/>
      <c r="G39" s="2495"/>
      <c r="H39" s="2495"/>
      <c r="I39" s="2495"/>
      <c r="J39" s="2495"/>
      <c r="K39" s="2495"/>
      <c r="L39" s="2495"/>
      <c r="M39" s="2495"/>
      <c r="N39" s="2495"/>
      <c r="O39" s="2495"/>
      <c r="P39" s="2495"/>
      <c r="Q39" s="2495"/>
      <c r="R39" s="2495"/>
      <c r="S39" s="2495"/>
      <c r="T39" s="2495"/>
      <c r="U39" s="2495"/>
      <c r="V39" s="2495"/>
      <c r="W39" s="2495"/>
      <c r="X39" s="2496"/>
      <c r="Y39" s="2539">
        <v>0.04</v>
      </c>
      <c r="Z39" s="2539"/>
      <c r="AA39" s="2539"/>
      <c r="AB39" s="2539"/>
      <c r="AC39" s="2539"/>
      <c r="AD39" s="2539">
        <v>0.04</v>
      </c>
      <c r="AE39" s="2539"/>
      <c r="AF39" s="2539"/>
      <c r="AG39" s="2539"/>
      <c r="AH39" s="2539"/>
    </row>
    <row r="40" spans="1:76" ht="12.95" customHeight="1">
      <c r="A40" s="436"/>
      <c r="B40" s="2494" t="s">
        <v>652</v>
      </c>
      <c r="C40" s="2495"/>
      <c r="D40" s="2495"/>
      <c r="E40" s="2495"/>
      <c r="F40" s="2495"/>
      <c r="G40" s="2495"/>
      <c r="H40" s="2495"/>
      <c r="I40" s="2495"/>
      <c r="J40" s="2495"/>
      <c r="K40" s="2495"/>
      <c r="L40" s="2495"/>
      <c r="M40" s="2495"/>
      <c r="N40" s="2495"/>
      <c r="O40" s="2495"/>
      <c r="P40" s="2495"/>
      <c r="Q40" s="2495"/>
      <c r="R40" s="2495"/>
      <c r="S40" s="2495"/>
      <c r="T40" s="2495"/>
      <c r="U40" s="2495"/>
      <c r="V40" s="2495"/>
      <c r="W40" s="2495"/>
      <c r="X40" s="2496"/>
      <c r="Y40" s="2488">
        <f>ROUND(Y38*Y39,0)</f>
        <v>1947373</v>
      </c>
      <c r="Z40" s="2488"/>
      <c r="AA40" s="2488"/>
      <c r="AB40" s="2488"/>
      <c r="AC40" s="2488"/>
      <c r="AD40" s="2487">
        <f>ROUND(AD38*AD39,0)</f>
        <v>0</v>
      </c>
      <c r="AE40" s="2488"/>
      <c r="AF40" s="2488"/>
      <c r="AG40" s="2488"/>
      <c r="AH40" s="2488"/>
    </row>
    <row r="41" spans="1:76" ht="12.95" customHeight="1">
      <c r="B41" s="2494" t="s">
        <v>653</v>
      </c>
      <c r="C41" s="2495"/>
      <c r="D41" s="2495"/>
      <c r="E41" s="2495"/>
      <c r="F41" s="2495"/>
      <c r="G41" s="2495"/>
      <c r="H41" s="2495"/>
      <c r="I41" s="2495"/>
      <c r="J41" s="2495"/>
      <c r="K41" s="2495"/>
      <c r="L41" s="2495"/>
      <c r="M41" s="2495"/>
      <c r="N41" s="2495"/>
      <c r="O41" s="2495"/>
      <c r="P41" s="2495"/>
      <c r="Q41" s="2495"/>
      <c r="R41" s="2495"/>
      <c r="S41" s="2495"/>
      <c r="T41" s="2495"/>
      <c r="U41" s="2495"/>
      <c r="V41" s="2495"/>
      <c r="W41" s="2495"/>
      <c r="X41" s="2496"/>
      <c r="Y41" s="2489">
        <f>Y40+AD40</f>
        <v>1947373</v>
      </c>
      <c r="Z41" s="2490"/>
      <c r="AA41" s="2490"/>
      <c r="AB41" s="2490"/>
      <c r="AC41" s="2490"/>
      <c r="AD41" s="2490"/>
      <c r="AE41" s="2490"/>
      <c r="AF41" s="2490"/>
      <c r="AG41" s="2490"/>
      <c r="AH41" s="2487"/>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2" t="s">
        <v>1435</v>
      </c>
      <c r="B44" s="2492"/>
      <c r="C44" s="2492"/>
      <c r="D44" s="2492"/>
      <c r="E44" s="2492"/>
      <c r="F44" s="2492"/>
      <c r="G44" s="2492"/>
      <c r="H44" s="2492"/>
      <c r="I44" s="2492"/>
      <c r="J44" s="2492"/>
      <c r="K44" s="2492"/>
      <c r="L44" s="2492"/>
      <c r="M44" s="2492"/>
      <c r="N44" s="2492"/>
      <c r="O44" s="2492"/>
      <c r="P44" s="2492"/>
      <c r="Q44" s="2492"/>
      <c r="R44" s="2492"/>
      <c r="S44" s="2492"/>
      <c r="T44" s="2492"/>
      <c r="U44" s="2492"/>
      <c r="V44" s="2492"/>
      <c r="W44" s="2492"/>
      <c r="X44" s="2492"/>
      <c r="Y44" s="2492"/>
      <c r="Z44" s="2492"/>
      <c r="AA44" s="2492"/>
      <c r="AB44" s="2492"/>
      <c r="AC44" s="2492"/>
      <c r="AD44" s="2492"/>
      <c r="AE44" s="2492"/>
      <c r="AF44" s="2492"/>
      <c r="AG44" s="2492"/>
      <c r="AH44" s="2492"/>
      <c r="AI44" s="2492"/>
      <c r="AJ44" s="2492"/>
      <c r="AK44" s="2492"/>
      <c r="AL44" s="2492"/>
      <c r="AM44" s="2492"/>
      <c r="AN44" s="2492"/>
      <c r="AO44" s="2492"/>
      <c r="AP44" s="2492"/>
      <c r="AQ44" s="2492"/>
      <c r="AR44" s="2492"/>
      <c r="AS44" s="2492"/>
      <c r="AT44" s="2492"/>
      <c r="AU44" s="2492"/>
      <c r="AV44" s="2492"/>
      <c r="AW44" s="2492"/>
      <c r="AX44" s="2492"/>
      <c r="AY44" s="2492"/>
      <c r="AZ44" s="2492"/>
      <c r="BA44" s="2492"/>
      <c r="BB44" s="2492"/>
      <c r="BC44" s="2492"/>
      <c r="BD44" s="2492"/>
      <c r="BE44" s="2492"/>
      <c r="BF44" s="2492"/>
      <c r="BG44" s="2492"/>
      <c r="BH44" s="2492"/>
      <c r="BI44" s="2492"/>
      <c r="BJ44" s="2492"/>
      <c r="BK44" s="2492"/>
      <c r="BL44" s="2492"/>
      <c r="BM44" s="2492"/>
      <c r="BN44" s="2492"/>
      <c r="BO44" s="2492"/>
      <c r="BP44" s="2492"/>
      <c r="BQ44" s="2492"/>
      <c r="BR44" s="2492"/>
      <c r="BS44" s="2492"/>
      <c r="BT44" s="2492"/>
      <c r="BU44" s="2492"/>
      <c r="BV44" s="2492"/>
      <c r="BW44" s="2492"/>
      <c r="BX44" s="2492"/>
    </row>
    <row r="45" spans="1:76" s="218" customFormat="1" ht="12.95" customHeight="1" thickTop="1"/>
    <row r="46" spans="1:76" ht="12.95" customHeight="1">
      <c r="A46" s="436" t="s">
        <v>596</v>
      </c>
      <c r="C46" s="436" t="s">
        <v>284</v>
      </c>
    </row>
    <row r="47" spans="1:76" ht="12.95" customHeight="1">
      <c r="D47" s="436" t="s">
        <v>285</v>
      </c>
      <c r="AB47" s="2504">
        <f>'Sources and Uses Budget'!B105-MAX(IF('Sources and Uses Budget'!B15="",0,'Sources and Uses Budget'!B15),IF(Application!AG393="",0,Application!AG393))</f>
        <v>44036817</v>
      </c>
      <c r="AC47" s="2505"/>
      <c r="AD47" s="2505"/>
      <c r="AE47" s="2505"/>
      <c r="AF47" s="2506"/>
    </row>
    <row r="48" spans="1:76" ht="12.95" customHeight="1">
      <c r="D48" s="436" t="s">
        <v>21</v>
      </c>
      <c r="AB48" s="2504">
        <f>Application!AO635-MAX(IF('Sources and Uses Budget'!B15="",0,'Sources and Uses Budget'!B15),IF(Application!AG393="",0,Application!AG393))</f>
        <v>19905686</v>
      </c>
      <c r="AC48" s="2505"/>
      <c r="AD48" s="2505"/>
      <c r="AE48" s="2505"/>
      <c r="AF48" s="2506"/>
    </row>
    <row r="49" spans="1:76" ht="12.95" customHeight="1">
      <c r="D49" s="436" t="s">
        <v>92</v>
      </c>
      <c r="AB49" s="2504">
        <f>AB47-AB48</f>
        <v>24131131</v>
      </c>
      <c r="AC49" s="2505"/>
      <c r="AD49" s="2505"/>
      <c r="AE49" s="2505"/>
      <c r="AF49" s="2506"/>
    </row>
    <row r="50" spans="1:76" ht="12.95" customHeight="1">
      <c r="D50" s="436" t="s">
        <v>691</v>
      </c>
      <c r="AA50" s="447"/>
      <c r="AB50" s="2531">
        <v>0.86</v>
      </c>
      <c r="AC50" s="2532"/>
      <c r="AD50" s="2532"/>
      <c r="AE50" s="2532"/>
      <c r="AF50" s="2533"/>
    </row>
    <row r="51" spans="1:76" s="449" customFormat="1" ht="12.95" customHeight="1">
      <c r="A51" s="434"/>
      <c r="B51" s="434"/>
      <c r="C51" s="434"/>
      <c r="D51" s="434"/>
      <c r="E51" s="2534" t="s">
        <v>2113</v>
      </c>
      <c r="F51" s="2534"/>
      <c r="G51" s="2534"/>
      <c r="H51" s="2534"/>
      <c r="I51" s="2534"/>
      <c r="J51" s="2534"/>
      <c r="K51" s="2534"/>
      <c r="L51" s="2534"/>
      <c r="M51" s="2534"/>
      <c r="N51" s="2534"/>
      <c r="O51" s="2534"/>
      <c r="P51" s="2534"/>
      <c r="Q51" s="2534"/>
      <c r="R51" s="2534"/>
      <c r="S51" s="2534"/>
      <c r="T51" s="2534"/>
      <c r="U51" s="2534"/>
      <c r="V51" s="2534"/>
      <c r="W51" s="2534"/>
      <c r="X51" s="2534"/>
      <c r="Y51" s="2534"/>
      <c r="Z51" s="2534"/>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34"/>
      <c r="F52" s="2534"/>
      <c r="G52" s="2534"/>
      <c r="H52" s="2534"/>
      <c r="I52" s="2534"/>
      <c r="J52" s="2534"/>
      <c r="K52" s="2534"/>
      <c r="L52" s="2534"/>
      <c r="M52" s="2534"/>
      <c r="N52" s="2534"/>
      <c r="O52" s="2534"/>
      <c r="P52" s="2534"/>
      <c r="Q52" s="2534"/>
      <c r="R52" s="2534"/>
      <c r="S52" s="2534"/>
      <c r="T52" s="2534"/>
      <c r="U52" s="2534"/>
      <c r="V52" s="2534"/>
      <c r="W52" s="2534"/>
      <c r="X52" s="2534"/>
      <c r="Y52" s="2534"/>
      <c r="Z52" s="2534"/>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4">
        <f>ROUND(IF(ISERROR((AB49/AB50)),0,(AB49/AB50)),0)</f>
        <v>28059455</v>
      </c>
      <c r="AC54" s="2505"/>
      <c r="AD54" s="2505"/>
      <c r="AE54" s="2505"/>
      <c r="AF54" s="2506"/>
    </row>
    <row r="55" spans="1:76" ht="12.95" customHeight="1">
      <c r="D55" s="436" t="s">
        <v>335</v>
      </c>
      <c r="AB55" s="2504">
        <f>(AB54/10)</f>
        <v>2805945.5</v>
      </c>
      <c r="AC55" s="2505"/>
      <c r="AD55" s="2505"/>
      <c r="AE55" s="2505"/>
      <c r="AF55" s="2506"/>
    </row>
    <row r="56" spans="1:76" ht="12.95" customHeight="1">
      <c r="D56" s="436" t="s">
        <v>769</v>
      </c>
      <c r="AB56" s="2535">
        <f>(IF((Y41&lt;AB55),Y41,AB55))</f>
        <v>1947373</v>
      </c>
      <c r="AC56" s="2536"/>
      <c r="AD56" s="2536"/>
      <c r="AE56" s="2536"/>
      <c r="AF56" s="2537"/>
    </row>
    <row r="57" spans="1:76" ht="12.95" customHeight="1">
      <c r="D57" s="436" t="s">
        <v>768</v>
      </c>
      <c r="AB57" s="2504">
        <f>ROUND((10*AB56*AB50),0)</f>
        <v>16747408</v>
      </c>
      <c r="AC57" s="2505"/>
      <c r="AD57" s="2505"/>
      <c r="AE57" s="2505"/>
      <c r="AF57" s="2506"/>
    </row>
    <row r="58" spans="1:76" ht="12.95" customHeight="1">
      <c r="D58" s="436"/>
      <c r="AB58" s="455"/>
      <c r="AC58" s="455"/>
      <c r="AD58" s="455"/>
      <c r="AE58" s="455"/>
      <c r="AF58" s="455"/>
    </row>
    <row r="59" spans="1:76" ht="12.95" customHeight="1">
      <c r="D59" s="436" t="s">
        <v>767</v>
      </c>
      <c r="AB59" s="2527">
        <f>AB49-AB57</f>
        <v>7383723</v>
      </c>
      <c r="AC59" s="2527"/>
      <c r="AD59" s="2527"/>
      <c r="AE59" s="2527"/>
      <c r="AF59" s="2527"/>
    </row>
    <row r="60" spans="1:76" ht="12.95" customHeight="1">
      <c r="D60" s="436"/>
      <c r="AB60" s="455"/>
      <c r="AC60" s="455"/>
      <c r="AD60" s="455"/>
      <c r="AE60" s="455"/>
      <c r="AF60" s="455"/>
    </row>
    <row r="61" spans="1:76" s="218" customFormat="1" ht="12.95" customHeight="1" thickBot="1">
      <c r="A61" s="2492" t="str">
        <f>IF(Application!AP204="yes","Farmworker State Credit", "State Credit" )</f>
        <v>State Credit</v>
      </c>
      <c r="B61" s="2492"/>
      <c r="C61" s="2492"/>
      <c r="D61" s="2492"/>
      <c r="E61" s="2492"/>
      <c r="F61" s="2492"/>
      <c r="G61" s="2492"/>
      <c r="H61" s="2492"/>
      <c r="I61" s="2492"/>
      <c r="J61" s="2492"/>
      <c r="K61" s="2492"/>
      <c r="L61" s="2492"/>
      <c r="M61" s="2492"/>
      <c r="N61" s="2492"/>
      <c r="O61" s="2492"/>
      <c r="P61" s="2492"/>
      <c r="Q61" s="2492"/>
      <c r="R61" s="2492"/>
      <c r="S61" s="2492"/>
      <c r="T61" s="2492"/>
      <c r="U61" s="2492"/>
      <c r="V61" s="2492"/>
      <c r="W61" s="2492"/>
      <c r="X61" s="2492"/>
      <c r="Y61" s="2492"/>
      <c r="Z61" s="2492"/>
      <c r="AA61" s="2492"/>
      <c r="AB61" s="2492"/>
      <c r="AC61" s="2492"/>
      <c r="AD61" s="2492"/>
      <c r="AE61" s="2492"/>
      <c r="AF61" s="2492"/>
      <c r="AG61" s="2492"/>
      <c r="AH61" s="2492"/>
      <c r="AI61" s="2492"/>
      <c r="AJ61" s="2492"/>
      <c r="AK61" s="2492"/>
      <c r="AL61" s="2492"/>
      <c r="AM61" s="2492"/>
      <c r="AN61" s="2492"/>
      <c r="AO61" s="2492"/>
      <c r="AP61" s="2492"/>
      <c r="AQ61" s="2492"/>
      <c r="AR61" s="2492"/>
      <c r="AS61" s="2492"/>
      <c r="AT61" s="2492"/>
      <c r="AU61" s="2492"/>
      <c r="AV61" s="2492"/>
      <c r="AW61" s="2492"/>
      <c r="AX61" s="2492"/>
      <c r="AY61" s="2492"/>
      <c r="AZ61" s="2492"/>
      <c r="BA61" s="2492"/>
      <c r="BB61" s="2492"/>
      <c r="BC61" s="2492"/>
      <c r="BD61" s="2492"/>
      <c r="BE61" s="2492"/>
      <c r="BF61" s="2492"/>
      <c r="BG61" s="2492"/>
      <c r="BH61" s="2492"/>
      <c r="BI61" s="2492"/>
      <c r="BJ61" s="2492"/>
      <c r="BK61" s="2492"/>
      <c r="BL61" s="2492"/>
      <c r="BM61" s="2492"/>
      <c r="BN61" s="2492"/>
      <c r="BO61" s="2492"/>
      <c r="BP61" s="2492"/>
      <c r="BQ61" s="2492"/>
      <c r="BR61" s="2492"/>
      <c r="BS61" s="2492"/>
      <c r="BT61" s="2492"/>
      <c r="BU61" s="2492"/>
      <c r="BV61" s="2492"/>
      <c r="BW61" s="2492"/>
      <c r="BX61" s="2492"/>
    </row>
    <row r="62" spans="1:76" s="218" customFormat="1" ht="12.95" customHeight="1" thickTop="1"/>
    <row r="63" spans="1:76" ht="12.95" customHeight="1">
      <c r="A63" s="436" t="s">
        <v>599</v>
      </c>
      <c r="C63" s="219" t="s">
        <v>1405</v>
      </c>
      <c r="Y63" s="2528" t="s">
        <v>1024</v>
      </c>
      <c r="Z63" s="2528"/>
      <c r="AA63" s="2528"/>
      <c r="AB63" s="2528"/>
      <c r="AC63" s="2528"/>
      <c r="AD63" s="2528" t="s">
        <v>371</v>
      </c>
      <c r="AE63" s="2528"/>
      <c r="AF63" s="2528"/>
      <c r="AG63" s="2528"/>
      <c r="AH63" s="2528"/>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9">
        <f>IF(Application!Z204="(select)",0,((T23*T27)+Y28))</f>
        <v>37449473</v>
      </c>
      <c r="Z64" s="2529"/>
      <c r="AA64" s="2529"/>
      <c r="AB64" s="2529"/>
      <c r="AC64" s="2530"/>
      <c r="AD64" s="2489">
        <f>IF(AND(OR(Application!D210="At-Risk",Application!D210="At-Risk and Special Needs"),Application!M357="yes"),AD28+AI28,0)</f>
        <v>0</v>
      </c>
      <c r="AE64" s="2529"/>
      <c r="AF64" s="2529"/>
      <c r="AG64" s="2529"/>
      <c r="AH64" s="2530"/>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45">
        <f>IF(Application!AP204="yes",0.75,IF(Application!Z203="15% set-aside",0.13,IF(Application!Z203="15% set-aside with qualifying low value rehab",0.95,0.3)))</f>
        <v>0.3</v>
      </c>
      <c r="Z67" s="2545"/>
      <c r="AA67" s="2545"/>
      <c r="AB67" s="2545"/>
      <c r="AC67" s="2545"/>
      <c r="AD67" s="2545">
        <f>IF(Application!Z203="15% set-aside with qualifying low value rehab", 0.95,0.13)</f>
        <v>0.13</v>
      </c>
      <c r="AE67" s="2545"/>
      <c r="AF67" s="2545"/>
      <c r="AG67" s="2545"/>
      <c r="AH67" s="2545"/>
    </row>
    <row r="68" spans="1:36" ht="12.95" customHeight="1">
      <c r="C68" s="436"/>
      <c r="D68" s="219" t="s">
        <v>1407</v>
      </c>
      <c r="Y68" s="2488">
        <f>ROUND(Y64*Y67,0)</f>
        <v>11234842</v>
      </c>
      <c r="Z68" s="2546"/>
      <c r="AA68" s="2546"/>
      <c r="AB68" s="2546"/>
      <c r="AC68" s="2546"/>
      <c r="AD68" s="2488">
        <f>ROUND(AD64*AD67,0)</f>
        <v>0</v>
      </c>
      <c r="AE68" s="2546"/>
      <c r="AF68" s="2546"/>
      <c r="AG68" s="2546"/>
      <c r="AH68" s="2546"/>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1408</v>
      </c>
      <c r="AB71" s="2531">
        <v>0.82</v>
      </c>
      <c r="AC71" s="2532"/>
      <c r="AD71" s="2532"/>
      <c r="AE71" s="2532"/>
      <c r="AF71" s="2533"/>
    </row>
    <row r="72" spans="1:36" ht="12.95" customHeight="1">
      <c r="A72" s="436"/>
      <c r="C72" s="436"/>
      <c r="D72" s="436"/>
      <c r="E72" s="2547" t="s">
        <v>1409</v>
      </c>
      <c r="F72" s="2547"/>
      <c r="G72" s="2547"/>
      <c r="H72" s="2547"/>
      <c r="I72" s="2547"/>
      <c r="J72" s="2547"/>
      <c r="K72" s="2547"/>
      <c r="L72" s="2547"/>
      <c r="M72" s="2547"/>
      <c r="N72" s="2547"/>
      <c r="O72" s="2547"/>
      <c r="P72" s="2547"/>
      <c r="Q72" s="2547"/>
      <c r="R72" s="2547"/>
      <c r="S72" s="2547"/>
      <c r="T72" s="2547"/>
      <c r="U72" s="2547"/>
      <c r="V72" s="2547"/>
      <c r="W72" s="2547"/>
      <c r="X72" s="2547"/>
      <c r="Y72" s="2547"/>
      <c r="Z72" s="2547"/>
      <c r="AA72" s="2547"/>
      <c r="AB72" s="472"/>
      <c r="AC72" s="472"/>
    </row>
    <row r="73" spans="1:36" ht="12.95" customHeight="1">
      <c r="A73" s="436"/>
      <c r="C73" s="436"/>
      <c r="D73" s="436"/>
      <c r="E73" s="2547"/>
      <c r="F73" s="2547"/>
      <c r="G73" s="2547"/>
      <c r="H73" s="2547"/>
      <c r="I73" s="2547"/>
      <c r="J73" s="2547"/>
      <c r="K73" s="2547"/>
      <c r="L73" s="2547"/>
      <c r="M73" s="2547"/>
      <c r="N73" s="2547"/>
      <c r="O73" s="2547"/>
      <c r="P73" s="2547"/>
      <c r="Q73" s="2547"/>
      <c r="R73" s="2547"/>
      <c r="S73" s="2547"/>
      <c r="T73" s="2547"/>
      <c r="U73" s="2547"/>
      <c r="V73" s="2547"/>
      <c r="W73" s="2547"/>
      <c r="X73" s="2547"/>
      <c r="Y73" s="2547"/>
      <c r="Z73" s="2547"/>
      <c r="AA73" s="2547"/>
      <c r="AB73" s="472"/>
      <c r="AC73" s="472"/>
    </row>
    <row r="74" spans="1:36" ht="12.95" customHeight="1">
      <c r="A74" s="436"/>
      <c r="C74" s="436"/>
      <c r="D74" s="436"/>
      <c r="E74" s="2547"/>
      <c r="F74" s="2547"/>
      <c r="G74" s="2547"/>
      <c r="H74" s="2547"/>
      <c r="I74" s="2547"/>
      <c r="J74" s="2547"/>
      <c r="K74" s="2547"/>
      <c r="L74" s="2547"/>
      <c r="M74" s="2547"/>
      <c r="N74" s="2547"/>
      <c r="O74" s="2547"/>
      <c r="P74" s="2547"/>
      <c r="Q74" s="2547"/>
      <c r="R74" s="2547"/>
      <c r="S74" s="2547"/>
      <c r="T74" s="2547"/>
      <c r="U74" s="2547"/>
      <c r="V74" s="2547"/>
      <c r="W74" s="2547"/>
      <c r="X74" s="2547"/>
      <c r="Y74" s="2547"/>
      <c r="Z74" s="2547"/>
      <c r="AA74" s="254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40">
        <f>ROUND(IF(ISERROR((AB59/AB71)),0,(AB59/AB71)),0)</f>
        <v>9004540</v>
      </c>
      <c r="AC76" s="2540"/>
      <c r="AD76" s="2540"/>
      <c r="AE76" s="2540"/>
      <c r="AF76" s="2540"/>
    </row>
    <row r="77" spans="1:36" ht="12.95" customHeight="1">
      <c r="C77" s="436"/>
      <c r="D77" s="219" t="s">
        <v>1411</v>
      </c>
      <c r="AB77" s="2541">
        <f>IF((Y68+AD68&lt;AB76),Y68+AD68,AB76)</f>
        <v>9004540</v>
      </c>
      <c r="AC77" s="2542"/>
      <c r="AD77" s="2542"/>
      <c r="AE77" s="2542"/>
      <c r="AF77" s="2543"/>
    </row>
    <row r="78" spans="1:36" ht="12.95" customHeight="1">
      <c r="C78" s="436"/>
      <c r="D78" s="219" t="s">
        <v>1412</v>
      </c>
      <c r="AB78" s="2544">
        <f>AB77*AB71</f>
        <v>7383722.7999999998</v>
      </c>
      <c r="AC78" s="2544"/>
      <c r="AD78" s="2544"/>
      <c r="AE78" s="2544"/>
      <c r="AF78" s="2544"/>
    </row>
    <row r="79" spans="1:36" ht="12.95" customHeight="1">
      <c r="C79" s="436"/>
      <c r="D79" s="436"/>
      <c r="AB79" s="457"/>
      <c r="AC79" s="457"/>
      <c r="AD79" s="457"/>
      <c r="AE79" s="457"/>
      <c r="AF79" s="457"/>
    </row>
    <row r="80" spans="1:36" ht="12.95" customHeight="1">
      <c r="D80" s="436" t="s">
        <v>767</v>
      </c>
      <c r="AB80" s="2527">
        <f>AB49-(AB57+AB78)</f>
        <v>0.19999999925494194</v>
      </c>
      <c r="AC80" s="2527"/>
      <c r="AD80" s="2527"/>
      <c r="AE80" s="2527"/>
      <c r="AF80" s="2527"/>
    </row>
    <row r="81" spans="1:78" ht="12.95" customHeight="1">
      <c r="F81" s="557"/>
      <c r="J81" s="557" t="str">
        <f>IF(AB80&gt;0,"FUNDING GAP MUST NOT EXCEED ZERO","")</f>
        <v>FUNDING GAP MUST NOT EXCEED ZERO</v>
      </c>
    </row>
    <row r="82" spans="1:78" ht="12.95" customHeight="1">
      <c r="D82" s="558"/>
    </row>
    <row r="83" spans="1:78" ht="12.95" customHeight="1" thickBot="1">
      <c r="A83" s="2492"/>
      <c r="B83" s="2492"/>
      <c r="C83" s="2492"/>
      <c r="D83" s="2492"/>
      <c r="E83" s="2492"/>
      <c r="F83" s="2492"/>
      <c r="G83" s="2492"/>
      <c r="H83" s="2492"/>
      <c r="I83" s="2492"/>
      <c r="J83" s="2492"/>
      <c r="K83" s="2492"/>
      <c r="L83" s="2492"/>
      <c r="M83" s="2492"/>
      <c r="N83" s="2492"/>
      <c r="O83" s="2492"/>
      <c r="P83" s="2492"/>
      <c r="Q83" s="2492"/>
      <c r="R83" s="2492"/>
      <c r="S83" s="2492"/>
      <c r="T83" s="2492"/>
      <c r="U83" s="2492"/>
      <c r="V83" s="2492"/>
      <c r="W83" s="2492"/>
      <c r="X83" s="2492"/>
      <c r="Y83" s="2492"/>
      <c r="Z83" s="2492"/>
      <c r="AA83" s="2492"/>
      <c r="AB83" s="2492"/>
      <c r="AC83" s="2492"/>
      <c r="AD83" s="2492"/>
      <c r="AE83" s="2492"/>
      <c r="AF83" s="2492"/>
      <c r="AG83" s="2492"/>
      <c r="AH83" s="2492"/>
      <c r="AI83" s="2492"/>
      <c r="AJ83" s="2492"/>
      <c r="AK83" s="2492"/>
      <c r="AL83" s="2492"/>
      <c r="AM83" s="2492"/>
      <c r="AN83" s="2492"/>
      <c r="AO83" s="2492"/>
      <c r="AP83" s="2492"/>
      <c r="AQ83" s="2492"/>
      <c r="AR83" s="2492"/>
      <c r="AS83" s="2492"/>
      <c r="AT83" s="2492"/>
      <c r="AU83" s="2492"/>
      <c r="AV83" s="2492"/>
      <c r="AW83" s="2492"/>
      <c r="AX83" s="2492"/>
      <c r="AY83" s="2492"/>
      <c r="AZ83" s="2492"/>
      <c r="BA83" s="2492"/>
      <c r="BB83" s="2492"/>
      <c r="BC83" s="2492"/>
      <c r="BD83" s="2492"/>
      <c r="BE83" s="2492"/>
      <c r="BF83" s="2492"/>
      <c r="BG83" s="2492"/>
      <c r="BH83" s="2492"/>
      <c r="BI83" s="2492"/>
      <c r="BJ83" s="2492"/>
      <c r="BK83" s="2492"/>
      <c r="BL83" s="2492"/>
      <c r="BM83" s="2492"/>
      <c r="BN83" s="2492"/>
      <c r="BO83" s="2492"/>
      <c r="BP83" s="2492"/>
      <c r="BQ83" s="2492"/>
      <c r="BR83" s="2492"/>
      <c r="BS83" s="2492"/>
      <c r="BT83" s="2492"/>
      <c r="BU83" s="2492"/>
      <c r="BV83" s="2492"/>
      <c r="BW83" s="2492"/>
      <c r="BX83" s="2492"/>
    </row>
    <row r="84" spans="1:78" ht="12.95" customHeight="1" thickTop="1"/>
    <row r="85" spans="1:78" ht="12.95" customHeight="1">
      <c r="A85" s="436"/>
      <c r="C85" s="219"/>
    </row>
    <row r="86" spans="1:78" ht="12.95" customHeight="1">
      <c r="D86" s="219"/>
      <c r="AB86" s="2493"/>
      <c r="AC86" s="2493"/>
      <c r="AD86" s="2493"/>
      <c r="AE86" s="2493"/>
      <c r="AF86" s="2493"/>
    </row>
    <row r="87" spans="1:78" ht="12.95" customHeight="1" thickBot="1">
      <c r="D87" s="219"/>
      <c r="AB87" s="2491"/>
      <c r="AC87" s="2491"/>
      <c r="AD87" s="2491"/>
      <c r="AE87" s="2491"/>
      <c r="AF87" s="249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6" sqref="F16"/>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8" t="s">
        <v>943</v>
      </c>
      <c r="B1" s="2548"/>
      <c r="C1" s="2548"/>
      <c r="D1" s="2548"/>
      <c r="E1" s="2548"/>
      <c r="F1" s="2548"/>
      <c r="G1" s="2548"/>
      <c r="H1" s="2548"/>
      <c r="I1" s="2548"/>
      <c r="J1" s="2548"/>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5</v>
      </c>
      <c r="C4" s="1131" t="s">
        <v>387</v>
      </c>
      <c r="D4" s="460">
        <f>Application!O714</f>
        <v>317</v>
      </c>
      <c r="E4" s="461"/>
      <c r="F4" s="1132">
        <v>914</v>
      </c>
      <c r="G4" s="460">
        <f>F4*B4</f>
        <v>4570</v>
      </c>
      <c r="H4" s="461"/>
      <c r="I4" s="460">
        <f>IF(F4=0," ",(F4-D4))</f>
        <v>597</v>
      </c>
      <c r="J4" s="460">
        <f>IF(F4=0," ",(I4*B4))</f>
        <v>2985</v>
      </c>
      <c r="K4" s="218"/>
      <c r="L4" s="328"/>
    </row>
    <row r="5" spans="1:12">
      <c r="A5" s="460" t="str">
        <f>Application!B715</f>
        <v>1 Bedroom</v>
      </c>
      <c r="B5" s="1130">
        <f>Application!G715</f>
        <v>2</v>
      </c>
      <c r="C5" s="1131" t="s">
        <v>387</v>
      </c>
      <c r="D5" s="460">
        <f>Application!O715</f>
        <v>464</v>
      </c>
      <c r="E5" s="461"/>
      <c r="F5" s="1132">
        <v>914</v>
      </c>
      <c r="G5" s="460">
        <f t="shared" ref="G5:G28" si="0">F5*B5</f>
        <v>1828</v>
      </c>
      <c r="H5" s="461"/>
      <c r="I5" s="460">
        <f t="shared" ref="I5:I28" si="1">IF(F5=0," ",(F5-D5))</f>
        <v>450</v>
      </c>
      <c r="J5" s="460">
        <f t="shared" ref="J5:J28" si="2">IF(F5=0," ",(I5*B5))</f>
        <v>900</v>
      </c>
      <c r="K5" s="218"/>
      <c r="L5" s="328"/>
    </row>
    <row r="6" spans="1:12">
      <c r="A6" s="460" t="str">
        <f>Application!B716</f>
        <v>1 Bedroom</v>
      </c>
      <c r="B6" s="1130">
        <f>Application!G716</f>
        <v>1</v>
      </c>
      <c r="C6" s="1131"/>
      <c r="D6" s="460">
        <f>Application!O716</f>
        <v>574.88</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5</v>
      </c>
      <c r="C7" s="1131"/>
      <c r="D7" s="460">
        <f>Application!O717</f>
        <v>720.88</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5</v>
      </c>
      <c r="C8" s="1131"/>
      <c r="D8" s="460">
        <f>Application!O718</f>
        <v>866.88</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8</v>
      </c>
      <c r="C9" s="1131" t="s">
        <v>387</v>
      </c>
      <c r="D9" s="460">
        <f>Application!O719</f>
        <v>380</v>
      </c>
      <c r="E9" s="461"/>
      <c r="F9" s="1132">
        <v>1216</v>
      </c>
      <c r="G9" s="460">
        <f t="shared" si="0"/>
        <v>9728</v>
      </c>
      <c r="H9" s="461"/>
      <c r="I9" s="460">
        <f t="shared" si="1"/>
        <v>836</v>
      </c>
      <c r="J9" s="460">
        <f t="shared" si="2"/>
        <v>6688</v>
      </c>
      <c r="K9" s="218"/>
      <c r="L9" s="328"/>
    </row>
    <row r="10" spans="1:12">
      <c r="A10" s="460" t="str">
        <f>Application!B720</f>
        <v>2 Bedrooms</v>
      </c>
      <c r="B10" s="1130">
        <f>Application!G720</f>
        <v>3</v>
      </c>
      <c r="C10" s="1131" t="s">
        <v>387</v>
      </c>
      <c r="D10" s="460">
        <f>Application!O720</f>
        <v>556</v>
      </c>
      <c r="E10" s="461"/>
      <c r="F10" s="1132">
        <v>1216</v>
      </c>
      <c r="G10" s="460">
        <f t="shared" si="0"/>
        <v>3648</v>
      </c>
      <c r="H10" s="461"/>
      <c r="I10" s="460">
        <f t="shared" si="1"/>
        <v>660</v>
      </c>
      <c r="J10" s="460">
        <f t="shared" si="2"/>
        <v>1980</v>
      </c>
      <c r="K10" s="218"/>
      <c r="L10" s="328"/>
    </row>
    <row r="11" spans="1:12">
      <c r="A11" s="460" t="str">
        <f>Application!B721</f>
        <v>2 Bedrooms</v>
      </c>
      <c r="B11" s="1130">
        <f>Application!G721</f>
        <v>3</v>
      </c>
      <c r="C11" s="1131"/>
      <c r="D11" s="460">
        <f>Application!O721</f>
        <v>691.88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9</v>
      </c>
      <c r="C12" s="1131"/>
      <c r="D12" s="460">
        <f>Application!O722</f>
        <v>866.88</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10</v>
      </c>
      <c r="C13" s="1131"/>
      <c r="D13" s="460">
        <f>Application!O723</f>
        <v>1042.8800000000001</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5</v>
      </c>
      <c r="C14" s="1131" t="s">
        <v>387</v>
      </c>
      <c r="D14" s="460">
        <f>Application!O724</f>
        <v>437</v>
      </c>
      <c r="E14" s="461"/>
      <c r="F14" s="1132">
        <v>1767</v>
      </c>
      <c r="G14" s="460">
        <f t="shared" si="0"/>
        <v>8835</v>
      </c>
      <c r="H14" s="461"/>
      <c r="I14" s="460">
        <f t="shared" si="1"/>
        <v>1330</v>
      </c>
      <c r="J14" s="460">
        <f t="shared" si="2"/>
        <v>6650</v>
      </c>
      <c r="K14" s="218"/>
      <c r="L14" s="328"/>
    </row>
    <row r="15" spans="1:12">
      <c r="A15" s="460" t="str">
        <f>Application!B725</f>
        <v>3 Bedrooms</v>
      </c>
      <c r="B15" s="1130">
        <f>Application!G725</f>
        <v>2</v>
      </c>
      <c r="C15" s="1131" t="s">
        <v>387</v>
      </c>
      <c r="D15" s="460">
        <f>Application!O725</f>
        <v>640</v>
      </c>
      <c r="E15" s="461"/>
      <c r="F15" s="1132">
        <v>1767</v>
      </c>
      <c r="G15" s="460">
        <f t="shared" si="0"/>
        <v>3534</v>
      </c>
      <c r="H15" s="461"/>
      <c r="I15" s="460">
        <f t="shared" si="1"/>
        <v>1127</v>
      </c>
      <c r="J15" s="460">
        <f t="shared" si="2"/>
        <v>2254</v>
      </c>
      <c r="K15" s="218"/>
      <c r="L15" s="328"/>
    </row>
    <row r="16" spans="1:12">
      <c r="A16" s="460" t="str">
        <f>Application!B726</f>
        <v>3 Bedrooms</v>
      </c>
      <c r="B16" s="1130">
        <f>Application!G726</f>
        <v>1</v>
      </c>
      <c r="C16" s="1131"/>
      <c r="D16" s="460">
        <f>Application!O726</f>
        <v>799.88</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5</v>
      </c>
      <c r="C17" s="1131"/>
      <c r="D17" s="460">
        <f>Application!O727</f>
        <v>1002.88</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5</v>
      </c>
      <c r="C18" s="1131"/>
      <c r="D18" s="460">
        <f>Application!O728</f>
        <v>1204.8800000000001</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51344.72</v>
      </c>
      <c r="E30" s="461"/>
      <c r="F30" s="461"/>
      <c r="G30" s="464">
        <f>SUM(G4:G28)*12</f>
        <v>385716</v>
      </c>
      <c r="H30" s="465"/>
      <c r="I30" s="463"/>
      <c r="J30" s="464">
        <f>SUM(J4:J28)*12</f>
        <v>257484</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63" sqref="A63:C63"/>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2514</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616136.64</v>
      </c>
      <c r="G4" s="235">
        <f>E4*$C$4</f>
        <v>631540.05599999998</v>
      </c>
      <c r="I4" s="235">
        <f>G4*$C$4</f>
        <v>647328.55739999993</v>
      </c>
      <c r="K4" s="235">
        <f>I4*$C$4</f>
        <v>663511.77133499982</v>
      </c>
      <c r="M4" s="235">
        <f>K4*$C$4</f>
        <v>680099.56561837473</v>
      </c>
      <c r="O4" s="235">
        <f>M4*$C$4</f>
        <v>697102.05475883407</v>
      </c>
      <c r="Q4" s="235">
        <f>O4*$C$4</f>
        <v>714529.60612780484</v>
      </c>
      <c r="S4" s="235">
        <f>Q4*$C$4</f>
        <v>732392.84628099995</v>
      </c>
      <c r="U4" s="235">
        <f>S4*$C$4</f>
        <v>750702.66743802489</v>
      </c>
      <c r="W4" s="235">
        <f>U4*$C$4</f>
        <v>769470.23412397539</v>
      </c>
      <c r="Y4" s="235">
        <f>W4*$C$4</f>
        <v>788706.98997707467</v>
      </c>
      <c r="AA4" s="235">
        <f>Y4*$C$4</f>
        <v>808424.66472650145</v>
      </c>
      <c r="AC4" s="235">
        <f>AA4*$C$4</f>
        <v>828635.28134466393</v>
      </c>
      <c r="AE4" s="235">
        <f>AC4*$C$4</f>
        <v>849351.16337828047</v>
      </c>
      <c r="AG4" s="235">
        <f>AE4*$C$4</f>
        <v>870584.94246273744</v>
      </c>
    </row>
    <row r="5" spans="1:34" s="225" customFormat="1" ht="14.25">
      <c r="B5" s="225" t="s">
        <v>867</v>
      </c>
      <c r="C5" s="254">
        <f>IF(Application!$D$210="Special Needs",0.1,0.05)</f>
        <v>0.05</v>
      </c>
      <c r="E5" s="237">
        <f>-E4*$C$5</f>
        <v>-30806.832000000002</v>
      </c>
      <c r="F5" s="237"/>
      <c r="G5" s="237">
        <f>-G4*$C$5</f>
        <v>-31577.002800000002</v>
      </c>
      <c r="H5" s="237"/>
      <c r="I5" s="237">
        <f>-I4*$C$5</f>
        <v>-32366.42787</v>
      </c>
      <c r="J5" s="237"/>
      <c r="K5" s="237">
        <f>-K4*$C$5</f>
        <v>-33175.58856674999</v>
      </c>
      <c r="L5" s="237"/>
      <c r="M5" s="237">
        <f>-M4*$C$5</f>
        <v>-34004.978280918738</v>
      </c>
      <c r="N5" s="237"/>
      <c r="O5" s="237">
        <f>-O4*$C$5</f>
        <v>-34855.102737941706</v>
      </c>
      <c r="P5" s="237"/>
      <c r="Q5" s="237">
        <f>-Q4*$C$5</f>
        <v>-35726.480306390244</v>
      </c>
      <c r="R5" s="237"/>
      <c r="S5" s="237">
        <f>-S4*$C$5</f>
        <v>-36619.642314049997</v>
      </c>
      <c r="T5" s="237"/>
      <c r="U5" s="237">
        <f>-U4*$C$5</f>
        <v>-37535.133371901247</v>
      </c>
      <c r="V5" s="237"/>
      <c r="W5" s="237">
        <f>-W4*$C$5</f>
        <v>-38473.511706198769</v>
      </c>
      <c r="X5" s="237"/>
      <c r="Y5" s="237">
        <f>-Y4*$C$5</f>
        <v>-39435.349498853735</v>
      </c>
      <c r="Z5" s="237"/>
      <c r="AA5" s="237">
        <f>-AA4*$C$5</f>
        <v>-40421.233236325075</v>
      </c>
      <c r="AB5" s="237"/>
      <c r="AC5" s="237">
        <f>-AC4*$C$5</f>
        <v>-41431.764067233198</v>
      </c>
      <c r="AD5" s="237"/>
      <c r="AE5" s="237">
        <f>-AE4*$C$5</f>
        <v>-42467.558168914024</v>
      </c>
      <c r="AF5" s="237"/>
      <c r="AG5" s="237">
        <f>-AG4*$C$5</f>
        <v>-43529.247123136876</v>
      </c>
    </row>
    <row r="6" spans="1:34" s="225" customFormat="1" ht="14.25">
      <c r="A6" s="225" t="s">
        <v>865</v>
      </c>
      <c r="C6" s="253">
        <v>1.0249999999999999</v>
      </c>
      <c r="E6" s="238">
        <f>Application!Z793</f>
        <v>257484</v>
      </c>
      <c r="F6" s="238"/>
      <c r="G6" s="238">
        <f>E6*$C$6</f>
        <v>263921.09999999998</v>
      </c>
      <c r="H6" s="238"/>
      <c r="I6" s="238">
        <f>G6*$C$6</f>
        <v>270519.12749999994</v>
      </c>
      <c r="J6" s="238"/>
      <c r="K6" s="238">
        <f>I6*$C$6</f>
        <v>277282.10568749992</v>
      </c>
      <c r="L6" s="238"/>
      <c r="M6" s="238">
        <f>K6*$C$6</f>
        <v>284214.15832968737</v>
      </c>
      <c r="N6" s="238"/>
      <c r="O6" s="238">
        <f>M6*$C$6</f>
        <v>291319.51228792954</v>
      </c>
      <c r="P6" s="238"/>
      <c r="Q6" s="238">
        <f>O6*$C$6</f>
        <v>298602.50009512773</v>
      </c>
      <c r="R6" s="238"/>
      <c r="S6" s="238">
        <f>Q6*$C$6</f>
        <v>306067.56259750592</v>
      </c>
      <c r="T6" s="238"/>
      <c r="U6" s="238">
        <f>S6*$C$6</f>
        <v>313719.25166244357</v>
      </c>
      <c r="V6" s="238"/>
      <c r="W6" s="238">
        <f>U6*$C$6</f>
        <v>321562.2329540046</v>
      </c>
      <c r="X6" s="238"/>
      <c r="Y6" s="238">
        <f>W6*$C$6</f>
        <v>329601.2887778547</v>
      </c>
      <c r="Z6" s="238"/>
      <c r="AA6" s="238">
        <f>Y6*$C$6</f>
        <v>337841.32099730102</v>
      </c>
      <c r="AB6" s="238"/>
      <c r="AC6" s="238">
        <f>AA6*$C$6</f>
        <v>346287.35402223351</v>
      </c>
      <c r="AD6" s="238"/>
      <c r="AE6" s="238">
        <f>AC6*$C$6</f>
        <v>354944.53787278931</v>
      </c>
      <c r="AF6" s="238"/>
      <c r="AG6" s="238">
        <f>AE6*$C$6</f>
        <v>363818.15131960902</v>
      </c>
    </row>
    <row r="7" spans="1:34" s="225" customFormat="1" ht="14.25">
      <c r="B7" s="225" t="s">
        <v>867</v>
      </c>
      <c r="C7" s="254">
        <f>IF(Application!$D$210="Special Needs",0.1,0.05)</f>
        <v>0.05</v>
      </c>
      <c r="E7" s="237">
        <f>-E6*$C$7</f>
        <v>-12874.2</v>
      </c>
      <c r="F7" s="237"/>
      <c r="G7" s="237">
        <f>-G6*$C$7</f>
        <v>-13196.055</v>
      </c>
      <c r="H7" s="237"/>
      <c r="I7" s="237">
        <f>-I6*$C$7</f>
        <v>-13525.956374999998</v>
      </c>
      <c r="J7" s="237"/>
      <c r="K7" s="237">
        <f>-K6*$C$7</f>
        <v>-13864.105284374997</v>
      </c>
      <c r="L7" s="237"/>
      <c r="M7" s="237">
        <f>-M6*$C$7</f>
        <v>-14210.707916484369</v>
      </c>
      <c r="N7" s="237"/>
      <c r="O7" s="237">
        <f>-O6*$C$7</f>
        <v>-14565.975614396477</v>
      </c>
      <c r="P7" s="237"/>
      <c r="Q7" s="237">
        <f>-Q6*$C$7</f>
        <v>-14930.125004756388</v>
      </c>
      <c r="R7" s="237"/>
      <c r="S7" s="237">
        <f>-S6*$C$7</f>
        <v>-15303.378129875297</v>
      </c>
      <c r="T7" s="237"/>
      <c r="U7" s="237">
        <f>-U6*$C$7</f>
        <v>-15685.962583122178</v>
      </c>
      <c r="V7" s="237"/>
      <c r="W7" s="237">
        <f>-W6*$C$7</f>
        <v>-16078.111647700231</v>
      </c>
      <c r="X7" s="237"/>
      <c r="Y7" s="237">
        <f>-Y6*$C$7</f>
        <v>-16480.064438892736</v>
      </c>
      <c r="Z7" s="237"/>
      <c r="AA7" s="237">
        <f>-AA6*$C$7</f>
        <v>-16892.06604986505</v>
      </c>
      <c r="AB7" s="237"/>
      <c r="AC7" s="237">
        <f>-AC6*$C$7</f>
        <v>-17314.367701111678</v>
      </c>
      <c r="AD7" s="237"/>
      <c r="AE7" s="237">
        <f>-AE6*$C$7</f>
        <v>-17747.226893639465</v>
      </c>
      <c r="AF7" s="237"/>
      <c r="AG7" s="237">
        <f>-AG6*$C$7</f>
        <v>-18190.907565980451</v>
      </c>
    </row>
    <row r="8" spans="1:34" s="225" customFormat="1" ht="14.25">
      <c r="A8" s="225" t="s">
        <v>290</v>
      </c>
      <c r="C8" s="253">
        <v>1.0249999999999999</v>
      </c>
      <c r="E8" s="238">
        <f>Application!Z801</f>
        <v>4200</v>
      </c>
      <c r="F8" s="238"/>
      <c r="G8" s="238">
        <f>E8*$C$8</f>
        <v>4305</v>
      </c>
      <c r="H8" s="238"/>
      <c r="I8" s="238">
        <f>G8*$C$8</f>
        <v>4412.625</v>
      </c>
      <c r="J8" s="238"/>
      <c r="K8" s="238">
        <f>I8*$C$8</f>
        <v>4522.9406249999993</v>
      </c>
      <c r="L8" s="238"/>
      <c r="M8" s="238">
        <f>K8*$C$8</f>
        <v>4636.0141406249986</v>
      </c>
      <c r="N8" s="238"/>
      <c r="O8" s="238">
        <f>M8*$C$8</f>
        <v>4751.914494140623</v>
      </c>
      <c r="P8" s="238"/>
      <c r="Q8" s="238">
        <f>O8*$C$8</f>
        <v>4870.7123564941385</v>
      </c>
      <c r="R8" s="238"/>
      <c r="S8" s="238">
        <f>Q8*$C$8</f>
        <v>4992.4801654064913</v>
      </c>
      <c r="T8" s="238"/>
      <c r="U8" s="238">
        <f>S8*$C$8</f>
        <v>5117.2921695416535</v>
      </c>
      <c r="V8" s="238"/>
      <c r="W8" s="238">
        <f>U8*$C$8</f>
        <v>5245.2244737801948</v>
      </c>
      <c r="X8" s="238"/>
      <c r="Y8" s="238">
        <f>W8*$C$8</f>
        <v>5376.3550856246993</v>
      </c>
      <c r="Z8" s="238"/>
      <c r="AA8" s="238">
        <f>Y8*$C$8</f>
        <v>5510.7639627653161</v>
      </c>
      <c r="AB8" s="238"/>
      <c r="AC8" s="238">
        <f>AA8*$C$8</f>
        <v>5648.5330618344487</v>
      </c>
      <c r="AD8" s="238"/>
      <c r="AE8" s="238">
        <f>AC8*$C$8</f>
        <v>5789.7463883803093</v>
      </c>
      <c r="AF8" s="238"/>
      <c r="AG8" s="238">
        <f>AE8*$C$8</f>
        <v>5934.4900480898168</v>
      </c>
    </row>
    <row r="9" spans="1:34" s="225" customFormat="1" ht="14.25">
      <c r="B9" s="225" t="s">
        <v>867</v>
      </c>
      <c r="C9" s="254">
        <f>IF(Application!$D$210="Special Needs",0.1,0.05)</f>
        <v>0.05</v>
      </c>
      <c r="E9" s="237">
        <f>-E8*$C$9</f>
        <v>-210</v>
      </c>
      <c r="F9" s="237"/>
      <c r="G9" s="237">
        <f>-G8*$C$9</f>
        <v>-215.25</v>
      </c>
      <c r="H9" s="237"/>
      <c r="I9" s="237">
        <f>-I8*$C$9</f>
        <v>-220.63125000000002</v>
      </c>
      <c r="J9" s="237"/>
      <c r="K9" s="237">
        <f>-K8*$C$9</f>
        <v>-226.14703124999997</v>
      </c>
      <c r="L9" s="237"/>
      <c r="M9" s="237">
        <f>-M8*$C$9</f>
        <v>-231.80070703124994</v>
      </c>
      <c r="N9" s="237"/>
      <c r="O9" s="237">
        <f>-O8*$C$9</f>
        <v>-237.59572470703117</v>
      </c>
      <c r="P9" s="237"/>
      <c r="Q9" s="237">
        <f>-Q8*$C$9</f>
        <v>-243.53561782470695</v>
      </c>
      <c r="R9" s="237"/>
      <c r="S9" s="237">
        <f>-S8*$C$9</f>
        <v>-249.62400827032457</v>
      </c>
      <c r="T9" s="237"/>
      <c r="U9" s="237">
        <f>-U8*$C$9</f>
        <v>-255.8646084770827</v>
      </c>
      <c r="V9" s="237"/>
      <c r="W9" s="237">
        <f>-W8*$C$9</f>
        <v>-262.26122368900974</v>
      </c>
      <c r="X9" s="237"/>
      <c r="Y9" s="237">
        <f>-Y8*$C$9</f>
        <v>-268.81775428123495</v>
      </c>
      <c r="Z9" s="237"/>
      <c r="AA9" s="237">
        <f>-AA8*$C$9</f>
        <v>-275.53819813826584</v>
      </c>
      <c r="AB9" s="237"/>
      <c r="AC9" s="237">
        <f>-AC8*$C$9</f>
        <v>-282.42665309172247</v>
      </c>
      <c r="AD9" s="237"/>
      <c r="AE9" s="237">
        <f>-AE8*$C$9</f>
        <v>-289.48731941901548</v>
      </c>
      <c r="AF9" s="237"/>
      <c r="AG9" s="237">
        <f>-AG8*$C$9</f>
        <v>-296.72450240449086</v>
      </c>
    </row>
    <row r="10" spans="1:34" s="225" customFormat="1" ht="14.25">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833929.60800000001</v>
      </c>
      <c r="G11" s="239">
        <f>SUM(G4:G10)</f>
        <v>854777.84819999989</v>
      </c>
      <c r="I11" s="239">
        <f>SUM(I4:I10)</f>
        <v>876147.29440499994</v>
      </c>
      <c r="K11" s="239">
        <f>SUM(K4:K10)</f>
        <v>898050.97676512494</v>
      </c>
      <c r="M11" s="239">
        <f>SUM(M4:M10)</f>
        <v>920502.25118425267</v>
      </c>
      <c r="O11" s="239">
        <f>SUM(O4:O10)</f>
        <v>943514.80746385909</v>
      </c>
      <c r="Q11" s="239">
        <f>SUM(Q4:Q10)</f>
        <v>967102.67765045539</v>
      </c>
      <c r="S11" s="239">
        <f>SUM(S4:S10)</f>
        <v>991280.24459171668</v>
      </c>
      <c r="U11" s="239">
        <f>SUM(U4:U10)</f>
        <v>1016062.2507065097</v>
      </c>
      <c r="W11" s="239">
        <f>SUM(W4:W10)</f>
        <v>1041463.8069741722</v>
      </c>
      <c r="Y11" s="239">
        <f>SUM(Y4:Y10)</f>
        <v>1067500.4021485262</v>
      </c>
      <c r="AA11" s="239">
        <f>SUM(AA4:AA10)</f>
        <v>1094187.9122022393</v>
      </c>
      <c r="AC11" s="239">
        <f>SUM(AC4:AC10)</f>
        <v>1121542.6100072954</v>
      </c>
      <c r="AE11" s="239">
        <f>SUM(AE4:AE10)</f>
        <v>1149581.1752574779</v>
      </c>
      <c r="AG11" s="239">
        <f>SUM(AG4:AG10)</f>
        <v>1178320.7046389144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35770</v>
      </c>
      <c r="G15" s="235">
        <f>E15*$C$14</f>
        <v>37021.949999999997</v>
      </c>
      <c r="I15" s="235">
        <f>G15*$C$14</f>
        <v>38317.718249999991</v>
      </c>
      <c r="K15" s="235">
        <f>I15*$C$14</f>
        <v>39658.838388749988</v>
      </c>
      <c r="M15" s="235">
        <f>K15*$C$14</f>
        <v>41046.897732356236</v>
      </c>
      <c r="O15" s="235">
        <f>M15*$C$14</f>
        <v>42483.539152988698</v>
      </c>
      <c r="Q15" s="235">
        <f>O15*$C$14</f>
        <v>43970.463023343298</v>
      </c>
      <c r="S15" s="235">
        <f>Q15*$C$14</f>
        <v>45509.429229160312</v>
      </c>
      <c r="U15" s="235">
        <f>S15*$C$14</f>
        <v>47102.25925218092</v>
      </c>
      <c r="W15" s="235">
        <f>U15*$C$14</f>
        <v>48750.838326007251</v>
      </c>
      <c r="Y15" s="235">
        <f>W15*$C$14</f>
        <v>50457.1176674175</v>
      </c>
      <c r="AA15" s="235">
        <f>Y15*$C$14</f>
        <v>52223.116785777107</v>
      </c>
      <c r="AC15" s="235">
        <f>AA15*$C$14</f>
        <v>54050.925873279302</v>
      </c>
      <c r="AE15" s="235">
        <f>AC15*$C$14</f>
        <v>55942.708278844075</v>
      </c>
      <c r="AG15" s="235">
        <f>AE15*$C$14</f>
        <v>57900.703068603616</v>
      </c>
    </row>
    <row r="16" spans="1:34" s="225" customFormat="1" ht="14.25">
      <c r="A16" s="225" t="s">
        <v>346</v>
      </c>
      <c r="C16" s="249"/>
      <c r="E16" s="238">
        <f>Application!W833</f>
        <v>37800</v>
      </c>
      <c r="F16" s="238"/>
      <c r="G16" s="238">
        <f t="shared" ref="G16:AG21" si="0">E16*$C$14</f>
        <v>39123</v>
      </c>
      <c r="H16" s="238"/>
      <c r="I16" s="238">
        <f t="shared" si="0"/>
        <v>40492.305</v>
      </c>
      <c r="J16" s="238"/>
      <c r="K16" s="238">
        <f t="shared" si="0"/>
        <v>41909.535674999999</v>
      </c>
      <c r="L16" s="238"/>
      <c r="M16" s="238">
        <f t="shared" si="0"/>
        <v>43376.369423624994</v>
      </c>
      <c r="N16" s="238"/>
      <c r="O16" s="238">
        <f t="shared" si="0"/>
        <v>44894.542353451863</v>
      </c>
      <c r="P16" s="238"/>
      <c r="Q16" s="238">
        <f t="shared" si="0"/>
        <v>46465.851335822677</v>
      </c>
      <c r="R16" s="238"/>
      <c r="S16" s="238">
        <f t="shared" si="0"/>
        <v>48092.156132576471</v>
      </c>
      <c r="T16" s="238"/>
      <c r="U16" s="238">
        <f t="shared" si="0"/>
        <v>49775.381597216641</v>
      </c>
      <c r="V16" s="238"/>
      <c r="W16" s="238">
        <f t="shared" si="0"/>
        <v>51517.519953119219</v>
      </c>
      <c r="X16" s="238"/>
      <c r="Y16" s="238">
        <f t="shared" si="0"/>
        <v>53320.633151478389</v>
      </c>
      <c r="Z16" s="238"/>
      <c r="AA16" s="238">
        <f t="shared" si="0"/>
        <v>55186.855311780128</v>
      </c>
      <c r="AB16" s="238"/>
      <c r="AC16" s="238">
        <f t="shared" si="0"/>
        <v>57118.395247692424</v>
      </c>
      <c r="AD16" s="238"/>
      <c r="AE16" s="238">
        <f t="shared" si="0"/>
        <v>59117.539081361654</v>
      </c>
      <c r="AF16" s="238"/>
      <c r="AG16" s="238">
        <f t="shared" si="0"/>
        <v>61186.65294920931</v>
      </c>
    </row>
    <row r="17" spans="1:33" s="225" customFormat="1" ht="14.25">
      <c r="A17" s="225" t="s">
        <v>571</v>
      </c>
      <c r="C17" s="249"/>
      <c r="E17" s="238">
        <f>Application!W839</f>
        <v>70920</v>
      </c>
      <c r="F17" s="238"/>
      <c r="G17" s="238">
        <f t="shared" si="0"/>
        <v>73402.2</v>
      </c>
      <c r="H17" s="238"/>
      <c r="I17" s="238">
        <f t="shared" si="0"/>
        <v>75971.276999999987</v>
      </c>
      <c r="J17" s="238"/>
      <c r="K17" s="238">
        <f t="shared" si="0"/>
        <v>78630.271694999974</v>
      </c>
      <c r="L17" s="238"/>
      <c r="M17" s="238">
        <f t="shared" si="0"/>
        <v>81382.331204324961</v>
      </c>
      <c r="N17" s="238"/>
      <c r="O17" s="238">
        <f t="shared" si="0"/>
        <v>84230.712796476335</v>
      </c>
      <c r="P17" s="238"/>
      <c r="Q17" s="238">
        <f t="shared" si="0"/>
        <v>87178.787744353001</v>
      </c>
      <c r="R17" s="238"/>
      <c r="S17" s="238">
        <f t="shared" si="0"/>
        <v>90230.045315405354</v>
      </c>
      <c r="T17" s="238"/>
      <c r="U17" s="238">
        <f t="shared" si="0"/>
        <v>93388.096901444529</v>
      </c>
      <c r="V17" s="238"/>
      <c r="W17" s="238">
        <f t="shared" si="0"/>
        <v>96656.680292995079</v>
      </c>
      <c r="X17" s="238"/>
      <c r="Y17" s="238">
        <f t="shared" si="0"/>
        <v>100039.6641032499</v>
      </c>
      <c r="Z17" s="238"/>
      <c r="AA17" s="238">
        <f t="shared" si="0"/>
        <v>103541.05234686364</v>
      </c>
      <c r="AB17" s="238"/>
      <c r="AC17" s="238">
        <f t="shared" si="0"/>
        <v>107164.98917900385</v>
      </c>
      <c r="AD17" s="238"/>
      <c r="AE17" s="238">
        <f t="shared" si="0"/>
        <v>110915.76380026898</v>
      </c>
      <c r="AF17" s="238"/>
      <c r="AG17" s="238">
        <f t="shared" si="0"/>
        <v>114797.81553327838</v>
      </c>
    </row>
    <row r="18" spans="1:33" s="225" customFormat="1" ht="14.25">
      <c r="A18" s="225" t="s">
        <v>871</v>
      </c>
      <c r="C18" s="249"/>
      <c r="E18" s="238">
        <f>Application!W846</f>
        <v>132000</v>
      </c>
      <c r="F18" s="238"/>
      <c r="G18" s="238">
        <f t="shared" si="0"/>
        <v>136620</v>
      </c>
      <c r="H18" s="238"/>
      <c r="I18" s="238">
        <f t="shared" si="0"/>
        <v>141401.69999999998</v>
      </c>
      <c r="J18" s="238"/>
      <c r="K18" s="238">
        <f t="shared" si="0"/>
        <v>146350.75949999996</v>
      </c>
      <c r="L18" s="238"/>
      <c r="M18" s="238">
        <f t="shared" si="0"/>
        <v>151473.03608249995</v>
      </c>
      <c r="N18" s="238"/>
      <c r="O18" s="238">
        <f t="shared" si="0"/>
        <v>156774.59234538744</v>
      </c>
      <c r="P18" s="238"/>
      <c r="Q18" s="238">
        <f t="shared" si="0"/>
        <v>162261.70307747598</v>
      </c>
      <c r="R18" s="238"/>
      <c r="S18" s="238">
        <f t="shared" si="0"/>
        <v>167940.86268518763</v>
      </c>
      <c r="T18" s="238"/>
      <c r="U18" s="238">
        <f t="shared" si="0"/>
        <v>173818.7928791692</v>
      </c>
      <c r="V18" s="238"/>
      <c r="W18" s="238">
        <f t="shared" si="0"/>
        <v>179902.45062994011</v>
      </c>
      <c r="X18" s="238"/>
      <c r="Y18" s="238">
        <f t="shared" si="0"/>
        <v>186199.03640198801</v>
      </c>
      <c r="Z18" s="238"/>
      <c r="AA18" s="238">
        <f t="shared" si="0"/>
        <v>192716.00267605757</v>
      </c>
      <c r="AB18" s="238"/>
      <c r="AC18" s="238">
        <f t="shared" si="0"/>
        <v>199461.06276971957</v>
      </c>
      <c r="AD18" s="238"/>
      <c r="AE18" s="238">
        <f t="shared" si="0"/>
        <v>206442.19996665974</v>
      </c>
      <c r="AF18" s="238"/>
      <c r="AG18" s="238">
        <f t="shared" si="0"/>
        <v>213667.67696549281</v>
      </c>
    </row>
    <row r="19" spans="1:33" s="225" customFormat="1" ht="14.25">
      <c r="A19" s="225" t="s">
        <v>156</v>
      </c>
      <c r="C19" s="249"/>
      <c r="E19" s="238">
        <f>Application!W847</f>
        <v>54800</v>
      </c>
      <c r="F19" s="238"/>
      <c r="G19" s="238">
        <f t="shared" si="0"/>
        <v>56717.999999999993</v>
      </c>
      <c r="H19" s="238"/>
      <c r="I19" s="238">
        <f t="shared" si="0"/>
        <v>58703.12999999999</v>
      </c>
      <c r="J19" s="238"/>
      <c r="K19" s="238">
        <f t="shared" si="0"/>
        <v>60757.739549999984</v>
      </c>
      <c r="L19" s="238"/>
      <c r="M19" s="238">
        <f t="shared" si="0"/>
        <v>62884.260434249976</v>
      </c>
      <c r="N19" s="238"/>
      <c r="O19" s="238">
        <f t="shared" si="0"/>
        <v>65085.209549448722</v>
      </c>
      <c r="P19" s="238"/>
      <c r="Q19" s="238">
        <f t="shared" si="0"/>
        <v>67363.191883679421</v>
      </c>
      <c r="R19" s="238"/>
      <c r="S19" s="238">
        <f t="shared" si="0"/>
        <v>69720.903599608195</v>
      </c>
      <c r="T19" s="238"/>
      <c r="U19" s="238">
        <f t="shared" si="0"/>
        <v>72161.13522559448</v>
      </c>
      <c r="V19" s="238"/>
      <c r="W19" s="238">
        <f t="shared" si="0"/>
        <v>74686.774958490278</v>
      </c>
      <c r="X19" s="238"/>
      <c r="Y19" s="238">
        <f t="shared" si="0"/>
        <v>77300.812082037432</v>
      </c>
      <c r="Z19" s="238"/>
      <c r="AA19" s="238">
        <f t="shared" si="0"/>
        <v>80006.340504908731</v>
      </c>
      <c r="AB19" s="238"/>
      <c r="AC19" s="238">
        <f t="shared" si="0"/>
        <v>82806.562422580537</v>
      </c>
      <c r="AD19" s="238"/>
      <c r="AE19" s="238">
        <f t="shared" si="0"/>
        <v>85704.792107370842</v>
      </c>
      <c r="AF19" s="238"/>
      <c r="AG19" s="238">
        <f t="shared" si="0"/>
        <v>88704.459831128814</v>
      </c>
    </row>
    <row r="20" spans="1:33" s="225" customFormat="1" ht="14.25">
      <c r="A20" s="225" t="s">
        <v>392</v>
      </c>
      <c r="C20" s="249"/>
      <c r="E20" s="238">
        <f>Application!W856</f>
        <v>77080</v>
      </c>
      <c r="F20" s="238"/>
      <c r="G20" s="238">
        <f t="shared" si="0"/>
        <v>79777.799999999988</v>
      </c>
      <c r="H20" s="238"/>
      <c r="I20" s="238">
        <f t="shared" si="0"/>
        <v>82570.022999999986</v>
      </c>
      <c r="J20" s="238"/>
      <c r="K20" s="238">
        <f t="shared" si="0"/>
        <v>85459.973804999972</v>
      </c>
      <c r="L20" s="238"/>
      <c r="M20" s="238">
        <f t="shared" si="0"/>
        <v>88451.072888174967</v>
      </c>
      <c r="N20" s="238"/>
      <c r="O20" s="238">
        <f t="shared" si="0"/>
        <v>91546.860439261087</v>
      </c>
      <c r="P20" s="238"/>
      <c r="Q20" s="238">
        <f t="shared" si="0"/>
        <v>94751.000554635219</v>
      </c>
      <c r="R20" s="238"/>
      <c r="S20" s="238">
        <f t="shared" si="0"/>
        <v>98067.285574047448</v>
      </c>
      <c r="T20" s="238"/>
      <c r="U20" s="238">
        <f t="shared" si="0"/>
        <v>101499.6405691391</v>
      </c>
      <c r="V20" s="238"/>
      <c r="W20" s="238">
        <f t="shared" si="0"/>
        <v>105052.12798905896</v>
      </c>
      <c r="X20" s="238"/>
      <c r="Y20" s="238">
        <f t="shared" si="0"/>
        <v>108728.95246867603</v>
      </c>
      <c r="Z20" s="238"/>
      <c r="AA20" s="238">
        <f t="shared" si="0"/>
        <v>112534.46580507969</v>
      </c>
      <c r="AB20" s="238"/>
      <c r="AC20" s="238">
        <f t="shared" si="0"/>
        <v>116473.17210825747</v>
      </c>
      <c r="AD20" s="238"/>
      <c r="AE20" s="238">
        <f t="shared" si="0"/>
        <v>120549.73313204647</v>
      </c>
      <c r="AF20" s="238"/>
      <c r="AG20" s="238">
        <f t="shared" si="0"/>
        <v>124768.97379166809</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408370</v>
      </c>
      <c r="G22" s="239">
        <f>SUM(G15:G21)</f>
        <v>422662.95</v>
      </c>
      <c r="I22" s="239">
        <f>SUM(I15:I21)</f>
        <v>437456.15324999992</v>
      </c>
      <c r="K22" s="239">
        <f>SUM(K15:K21)</f>
        <v>452767.11861374992</v>
      </c>
      <c r="M22" s="239">
        <f>SUM(M15:M21)</f>
        <v>468613.96776523109</v>
      </c>
      <c r="O22" s="239">
        <f>SUM(O15:O21)</f>
        <v>485015.45663701417</v>
      </c>
      <c r="Q22" s="239">
        <f>SUM(Q15:Q21)</f>
        <v>501990.99761930958</v>
      </c>
      <c r="S22" s="239">
        <f>SUM(S15:S21)</f>
        <v>519560.68253598548</v>
      </c>
      <c r="U22" s="239">
        <f>SUM(U15:U21)</f>
        <v>537745.30642474489</v>
      </c>
      <c r="W22" s="239">
        <f>SUM(W15:W21)</f>
        <v>556566.39214961091</v>
      </c>
      <c r="Y22" s="239">
        <f>SUM(Y15:Y21)</f>
        <v>576046.21587484726</v>
      </c>
      <c r="AA22" s="239">
        <f>SUM(AA15:AA21)</f>
        <v>596207.83343046682</v>
      </c>
      <c r="AC22" s="239">
        <f>SUM(AC15:AC21)</f>
        <v>617075.10760053317</v>
      </c>
      <c r="AE22" s="239">
        <f>SUM(AE15:AE21)</f>
        <v>638672.73636655184</v>
      </c>
      <c r="AG22" s="239">
        <f>SUM(AG15:AG21)</f>
        <v>661026.28213938104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19200</v>
      </c>
      <c r="F27" s="238"/>
      <c r="G27" s="238">
        <f>E27*$C$27</f>
        <v>19872</v>
      </c>
      <c r="H27" s="238"/>
      <c r="I27" s="238">
        <f>G27*$C$27</f>
        <v>20567.519999999997</v>
      </c>
      <c r="J27" s="238"/>
      <c r="K27" s="238">
        <f>I27*$C$27</f>
        <v>21287.383199999997</v>
      </c>
      <c r="L27" s="238"/>
      <c r="M27" s="238">
        <f>K27*$C$27</f>
        <v>22032.441611999995</v>
      </c>
      <c r="N27" s="238"/>
      <c r="O27" s="238">
        <f>M27*$C$27</f>
        <v>22803.577068419992</v>
      </c>
      <c r="P27" s="238"/>
      <c r="Q27" s="238">
        <f>O27*$C$27</f>
        <v>23601.702265814689</v>
      </c>
      <c r="R27" s="238"/>
      <c r="S27" s="238">
        <f>Q27*$C$27</f>
        <v>24427.761845118202</v>
      </c>
      <c r="T27" s="238"/>
      <c r="U27" s="238">
        <f>S27*$C$27</f>
        <v>25282.733509697337</v>
      </c>
      <c r="V27" s="238"/>
      <c r="W27" s="238">
        <f>U27*$C$27</f>
        <v>26167.629182536741</v>
      </c>
      <c r="X27" s="238"/>
      <c r="Y27" s="238">
        <f>W27*$C$27</f>
        <v>27083.496203925526</v>
      </c>
      <c r="Z27" s="238"/>
      <c r="AA27" s="238">
        <f>Y27*$C$27</f>
        <v>28031.418571062917</v>
      </c>
      <c r="AB27" s="238"/>
      <c r="AC27" s="238">
        <f>AA27*$C$27</f>
        <v>29012.518221050115</v>
      </c>
      <c r="AD27" s="238"/>
      <c r="AE27" s="238">
        <f>AC27*$C$27</f>
        <v>30027.956358786865</v>
      </c>
      <c r="AF27" s="238"/>
      <c r="AG27" s="238">
        <f>AE27*$C$27</f>
        <v>31078.934831344402</v>
      </c>
    </row>
    <row r="28" spans="1:33" s="225" customFormat="1" ht="14.25">
      <c r="A28" s="225" t="s">
        <v>875</v>
      </c>
      <c r="C28" s="253"/>
      <c r="E28" s="238">
        <f>Application!AC873</f>
        <v>35000</v>
      </c>
      <c r="F28" s="238"/>
      <c r="G28" s="238">
        <f>$E$28</f>
        <v>35000</v>
      </c>
      <c r="H28" s="238"/>
      <c r="I28" s="238">
        <f>$E$28</f>
        <v>35000</v>
      </c>
      <c r="J28" s="238"/>
      <c r="K28" s="238">
        <f>$E$28</f>
        <v>35000</v>
      </c>
      <c r="L28" s="238"/>
      <c r="M28" s="238">
        <f>$E$28</f>
        <v>35000</v>
      </c>
      <c r="N28" s="238"/>
      <c r="O28" s="238">
        <f>$E$28</f>
        <v>35000</v>
      </c>
      <c r="P28" s="238"/>
      <c r="Q28" s="238">
        <f>$E$28</f>
        <v>35000</v>
      </c>
      <c r="R28" s="238"/>
      <c r="S28" s="238">
        <f>$E$28</f>
        <v>35000</v>
      </c>
      <c r="T28" s="238"/>
      <c r="U28" s="238">
        <f>$E$28</f>
        <v>35000</v>
      </c>
      <c r="V28" s="238"/>
      <c r="W28" s="238">
        <f>$E$28</f>
        <v>35000</v>
      </c>
      <c r="X28" s="238"/>
      <c r="Y28" s="238">
        <f>$E$28</f>
        <v>35000</v>
      </c>
      <c r="Z28" s="238"/>
      <c r="AA28" s="238">
        <f>$E$28</f>
        <v>35000</v>
      </c>
      <c r="AB28" s="238"/>
      <c r="AC28" s="238">
        <f>$E$28</f>
        <v>35000</v>
      </c>
      <c r="AD28" s="238"/>
      <c r="AE28" s="238">
        <f>$E$28</f>
        <v>35000</v>
      </c>
      <c r="AF28" s="238"/>
      <c r="AG28" s="238">
        <f>$E$28</f>
        <v>35000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7500</v>
      </c>
      <c r="F30" s="238"/>
      <c r="G30" s="238">
        <f>E30*$C$30</f>
        <v>7650</v>
      </c>
      <c r="H30" s="238"/>
      <c r="I30" s="238">
        <f>G30*$C$30</f>
        <v>7803</v>
      </c>
      <c r="J30" s="238"/>
      <c r="K30" s="238">
        <f>I30*$C$30</f>
        <v>7959.06</v>
      </c>
      <c r="L30" s="238"/>
      <c r="M30" s="238">
        <f>K30*$C$30</f>
        <v>8118.2412000000004</v>
      </c>
      <c r="N30" s="238"/>
      <c r="O30" s="238">
        <f>M30*$C$30</f>
        <v>8280.6060240000006</v>
      </c>
      <c r="P30" s="238"/>
      <c r="Q30" s="238">
        <f>O30*$C$30</f>
        <v>8446.2181444800008</v>
      </c>
      <c r="R30" s="238"/>
      <c r="S30" s="238">
        <f>Q30*$C$30</f>
        <v>8615.1425073696009</v>
      </c>
      <c r="T30" s="238"/>
      <c r="U30" s="238">
        <f>S30*$C$30</f>
        <v>8787.4453575169937</v>
      </c>
      <c r="V30" s="238"/>
      <c r="W30" s="238">
        <f>U30*$C$30</f>
        <v>8963.1942646673342</v>
      </c>
      <c r="X30" s="238"/>
      <c r="Y30" s="238">
        <f>W30*$C$30</f>
        <v>9142.4581499606811</v>
      </c>
      <c r="Z30" s="238"/>
      <c r="AA30" s="238">
        <f>Y30*$C$30</f>
        <v>9325.3073129598943</v>
      </c>
      <c r="AB30" s="238"/>
      <c r="AC30" s="238">
        <f>AA30*$C$30</f>
        <v>9511.8134592190927</v>
      </c>
      <c r="AD30" s="238"/>
      <c r="AE30" s="238">
        <f>AC30*$C$30</f>
        <v>9702.0497284034755</v>
      </c>
      <c r="AF30" s="238"/>
      <c r="AG30" s="238">
        <f>AE30*$C$30</f>
        <v>9896.0907229715449</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City of Chico Fee:</v>
      </c>
      <c r="C32" s="340">
        <v>1.0349999999999999</v>
      </c>
      <c r="E32" s="238">
        <f>Application!AC877</f>
        <v>2500</v>
      </c>
      <c r="F32" s="238"/>
      <c r="G32" s="238">
        <f>E32*$C$32</f>
        <v>2587.5</v>
      </c>
      <c r="H32" s="238"/>
      <c r="I32" s="238">
        <f>G32*$C$32</f>
        <v>2678.0625</v>
      </c>
      <c r="J32" s="238"/>
      <c r="K32" s="238">
        <f>I32*$C$32</f>
        <v>2771.7946874999998</v>
      </c>
      <c r="L32" s="238"/>
      <c r="M32" s="238">
        <f>K32*$C$32</f>
        <v>2868.8075015624995</v>
      </c>
      <c r="N32" s="238"/>
      <c r="O32" s="238">
        <f>M32*$C$32</f>
        <v>2969.2157641171866</v>
      </c>
      <c r="P32" s="238"/>
      <c r="Q32" s="238">
        <f>O32*$C$32</f>
        <v>3073.138315861288</v>
      </c>
      <c r="R32" s="238"/>
      <c r="S32" s="238">
        <f>Q32*$C$32</f>
        <v>3180.6981569164327</v>
      </c>
      <c r="T32" s="238"/>
      <c r="U32" s="238">
        <f>S32*$C$32</f>
        <v>3292.0225924085075</v>
      </c>
      <c r="V32" s="238"/>
      <c r="W32" s="238">
        <f>U32*$C$32</f>
        <v>3407.2433831428052</v>
      </c>
      <c r="X32" s="238"/>
      <c r="Y32" s="238">
        <f>W32*$C$32</f>
        <v>3526.4969015528031</v>
      </c>
      <c r="Z32" s="238"/>
      <c r="AA32" s="238">
        <f>Y32*$C$32</f>
        <v>3649.9242931071508</v>
      </c>
      <c r="AB32" s="238"/>
      <c r="AC32" s="238">
        <f>AA32*$C$32</f>
        <v>3777.6716433659008</v>
      </c>
      <c r="AD32" s="238"/>
      <c r="AE32" s="238">
        <f>AC32*$C$32</f>
        <v>3909.8901508837071</v>
      </c>
      <c r="AF32" s="238"/>
      <c r="AG32" s="238">
        <f>AE32*$C$32</f>
        <v>4046.7363061646365</v>
      </c>
    </row>
    <row r="33" spans="1:33" s="225" customFormat="1" ht="14.25">
      <c r="A33" s="225" t="str">
        <f>Application!C878</f>
        <v>Other Bond Issuer Fee:</v>
      </c>
      <c r="C33" s="340">
        <v>1.0349999999999999</v>
      </c>
      <c r="E33" s="238">
        <f>Application!AC878</f>
        <v>4000</v>
      </c>
      <c r="F33" s="238"/>
      <c r="G33" s="238">
        <f>E33*$C$33</f>
        <v>4140</v>
      </c>
      <c r="H33" s="238"/>
      <c r="I33" s="238">
        <f>G33*$C$33</f>
        <v>4284.8999999999996</v>
      </c>
      <c r="J33" s="238"/>
      <c r="K33" s="238">
        <f>I33*$C$33</f>
        <v>4434.8714999999993</v>
      </c>
      <c r="L33" s="238"/>
      <c r="M33" s="238">
        <f>K33*$C$33</f>
        <v>4590.0920024999987</v>
      </c>
      <c r="N33" s="238"/>
      <c r="O33" s="238">
        <f>M33*$C$33</f>
        <v>4750.7452225874986</v>
      </c>
      <c r="P33" s="238"/>
      <c r="Q33" s="238">
        <f>O33*$C$33</f>
        <v>4917.0213053780608</v>
      </c>
      <c r="R33" s="238"/>
      <c r="S33" s="238">
        <f>Q33*$C$33</f>
        <v>5089.1170510662923</v>
      </c>
      <c r="T33" s="238"/>
      <c r="U33" s="238">
        <f>S33*$C$33</f>
        <v>5267.2361478536122</v>
      </c>
      <c r="V33" s="238"/>
      <c r="W33" s="238">
        <f>U33*$C$33</f>
        <v>5451.5894130284878</v>
      </c>
      <c r="X33" s="238"/>
      <c r="Y33" s="238">
        <f>W33*$C$33</f>
        <v>5642.3950424844843</v>
      </c>
      <c r="Z33" s="238"/>
      <c r="AA33" s="238">
        <f>Y33*$C$33</f>
        <v>5839.8788689714411</v>
      </c>
      <c r="AB33" s="238"/>
      <c r="AC33" s="238">
        <f>AA33*$C$33</f>
        <v>6044.2746293854407</v>
      </c>
      <c r="AD33" s="238"/>
      <c r="AE33" s="238">
        <f>AC33*$C$33</f>
        <v>6255.8242414139304</v>
      </c>
      <c r="AF33" s="238"/>
      <c r="AG33" s="238">
        <f>AE33*$C$33</f>
        <v>6474.7780898634173</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476570</v>
      </c>
      <c r="G35" s="239">
        <f>SUM(G22:G33)</f>
        <v>491912.45</v>
      </c>
      <c r="I35" s="239">
        <f>SUM(I22:I33)</f>
        <v>507789.63574999996</v>
      </c>
      <c r="K35" s="239">
        <f>SUM(K22:K33)</f>
        <v>524220.2280012499</v>
      </c>
      <c r="M35" s="239">
        <f>SUM(M22:M33)</f>
        <v>541223.55008129356</v>
      </c>
      <c r="O35" s="239">
        <f>SUM(O22:O33)</f>
        <v>558819.60071613884</v>
      </c>
      <c r="Q35" s="239">
        <f>SUM(Q22:Q33)</f>
        <v>577029.07765084365</v>
      </c>
      <c r="S35" s="239">
        <f>SUM(S22:S33)</f>
        <v>595873.40209645603</v>
      </c>
      <c r="U35" s="239">
        <f>SUM(U22:U33)</f>
        <v>615374.74403222138</v>
      </c>
      <c r="W35" s="239">
        <f>SUM(W22:W33)</f>
        <v>635556.04839298618</v>
      </c>
      <c r="Y35" s="239">
        <f>SUM(Y22:Y33)</f>
        <v>656441.06217277085</v>
      </c>
      <c r="AA35" s="239">
        <f>SUM(AA22:AA33)</f>
        <v>678054.36247656832</v>
      </c>
      <c r="AC35" s="239">
        <f>SUM(AC22:AC33)</f>
        <v>700421.3855535537</v>
      </c>
      <c r="AE35" s="239">
        <f>SUM(AE22:AE33)</f>
        <v>723568.45684603986</v>
      </c>
      <c r="AG35" s="239">
        <f>SUM(AG22:AG33)</f>
        <v>747522.82208972506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357359.60800000001</v>
      </c>
      <c r="G37" s="239">
        <f>G11-G35</f>
        <v>362865.39819999988</v>
      </c>
      <c r="I37" s="239">
        <f>I11-I35</f>
        <v>368357.65865499998</v>
      </c>
      <c r="K37" s="239">
        <f>K11-K35</f>
        <v>373830.74876387505</v>
      </c>
      <c r="M37" s="239">
        <f>M11-M35</f>
        <v>379278.70110295911</v>
      </c>
      <c r="O37" s="239">
        <f>O11-O35</f>
        <v>384695.20674772025</v>
      </c>
      <c r="Q37" s="239">
        <f>Q11-Q35</f>
        <v>390073.59999961173</v>
      </c>
      <c r="S37" s="239">
        <f>S11-S35</f>
        <v>395406.84249526064</v>
      </c>
      <c r="U37" s="239">
        <f>U11-U35</f>
        <v>400687.50667428831</v>
      </c>
      <c r="W37" s="239">
        <f>W11-W35</f>
        <v>405907.75858118606</v>
      </c>
      <c r="Y37" s="239">
        <f>Y11-Y35</f>
        <v>411059.33997575531</v>
      </c>
      <c r="AA37" s="239">
        <f>AA11-AA35</f>
        <v>416133.54972567095</v>
      </c>
      <c r="AC37" s="239">
        <f>AC11-AC35</f>
        <v>421121.22445374168</v>
      </c>
      <c r="AE37" s="239">
        <f>AE11-AE35</f>
        <v>426012.71841143805</v>
      </c>
      <c r="AG37" s="239">
        <f>AG11-AG35</f>
        <v>430797.88254918938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Permanent Loan</v>
      </c>
      <c r="B40" s="242"/>
      <c r="C40" s="236"/>
      <c r="E40" s="238">
        <f>Application!AF623</f>
        <v>297388.64124562714</v>
      </c>
      <c r="F40" s="238"/>
      <c r="G40" s="238">
        <f>$E$40</f>
        <v>297388.64124562714</v>
      </c>
      <c r="H40" s="238"/>
      <c r="I40" s="238">
        <f>$E$40</f>
        <v>297388.64124562714</v>
      </c>
      <c r="J40" s="238"/>
      <c r="K40" s="238">
        <f>$E$40</f>
        <v>297388.64124562714</v>
      </c>
      <c r="L40" s="238"/>
      <c r="M40" s="238">
        <f>$E$40</f>
        <v>297388.64124562714</v>
      </c>
      <c r="N40" s="238"/>
      <c r="O40" s="238">
        <f>$E$40</f>
        <v>297388.64124562714</v>
      </c>
      <c r="P40" s="238"/>
      <c r="Q40" s="238">
        <f>$E$40</f>
        <v>297388.64124562714</v>
      </c>
      <c r="R40" s="238"/>
      <c r="S40" s="238">
        <f>$E$40</f>
        <v>297388.64124562714</v>
      </c>
      <c r="T40" s="238"/>
      <c r="U40" s="238">
        <f>$E$40</f>
        <v>297388.64124562714</v>
      </c>
      <c r="V40" s="238"/>
      <c r="W40" s="238">
        <f>$E$40</f>
        <v>297388.64124562714</v>
      </c>
      <c r="X40" s="238"/>
      <c r="Y40" s="238">
        <f>$E$40</f>
        <v>297388.64124562714</v>
      </c>
      <c r="Z40" s="238"/>
      <c r="AA40" s="238">
        <f>$E$40</f>
        <v>297388.64124562714</v>
      </c>
      <c r="AB40" s="238"/>
      <c r="AC40" s="238">
        <f>$E$40</f>
        <v>297388.64124562714</v>
      </c>
      <c r="AD40" s="238"/>
      <c r="AE40" s="238">
        <f>$E$40</f>
        <v>297388.64124562714</v>
      </c>
      <c r="AF40" s="238"/>
      <c r="AG40" s="238">
        <f>$E$40</f>
        <v>297388.64124562714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297388.64124562714</v>
      </c>
      <c r="G43" s="239">
        <f>SUM(G40:G42)</f>
        <v>297388.64124562714</v>
      </c>
      <c r="I43" s="239">
        <f>SUM(I40:I42)</f>
        <v>297388.64124562714</v>
      </c>
      <c r="K43" s="239">
        <f>SUM(K40:K42)</f>
        <v>297388.64124562714</v>
      </c>
      <c r="M43" s="239">
        <f>SUM(M40:M42)</f>
        <v>297388.64124562714</v>
      </c>
      <c r="O43" s="239">
        <f>SUM(O40:O42)</f>
        <v>297388.64124562714</v>
      </c>
      <c r="Q43" s="239">
        <f>SUM(Q40:Q42)</f>
        <v>297388.64124562714</v>
      </c>
      <c r="S43" s="239">
        <f>SUM(S40:S42)</f>
        <v>297388.64124562714</v>
      </c>
      <c r="U43" s="239">
        <f>SUM(U40:U42)</f>
        <v>297388.64124562714</v>
      </c>
      <c r="W43" s="239">
        <f>SUM(W40:W42)</f>
        <v>297388.64124562714</v>
      </c>
      <c r="Y43" s="239">
        <f>SUM(Y40:Y42)</f>
        <v>297388.64124562714</v>
      </c>
      <c r="AA43" s="239">
        <f>SUM(AA40:AA42)</f>
        <v>297388.64124562714</v>
      </c>
      <c r="AC43" s="239">
        <f>SUM(AC40:AC42)</f>
        <v>297388.64124562714</v>
      </c>
      <c r="AE43" s="239">
        <f>SUM(AE40:AE42)</f>
        <v>297388.64124562714</v>
      </c>
      <c r="AG43" s="239">
        <f>SUM(AG40:AG42)</f>
        <v>297388.64124562714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59970.966754372872</v>
      </c>
      <c r="G45" s="239">
        <f>G37-G43</f>
        <v>65476.756954372744</v>
      </c>
      <c r="I45" s="239">
        <f>I37-I43</f>
        <v>70969.017409372842</v>
      </c>
      <c r="K45" s="239">
        <f>K37-K43</f>
        <v>76442.107518247911</v>
      </c>
      <c r="M45" s="239">
        <f>M37-M43</f>
        <v>81890.059857331973</v>
      </c>
      <c r="O45" s="239">
        <f>O37-O43</f>
        <v>87306.565502093115</v>
      </c>
      <c r="Q45" s="239">
        <f>Q37-Q43</f>
        <v>92684.958753984596</v>
      </c>
      <c r="S45" s="239">
        <f>S37-S43</f>
        <v>98018.201249633508</v>
      </c>
      <c r="U45" s="239">
        <f>U37-U43</f>
        <v>103298.86542866117</v>
      </c>
      <c r="W45" s="239">
        <f>W37-W43</f>
        <v>108519.11733555893</v>
      </c>
      <c r="Y45" s="239">
        <f>Y37-Y43</f>
        <v>113670.69873012818</v>
      </c>
      <c r="AA45" s="239">
        <f>AA37-AA43</f>
        <v>118744.90848004381</v>
      </c>
      <c r="AC45" s="239">
        <f>AC37-AC43</f>
        <v>123732.58320811455</v>
      </c>
      <c r="AE45" s="239">
        <f>AE37-AE43</f>
        <v>128624.07716581092</v>
      </c>
      <c r="AG45" s="239">
        <f>AG37-AG43</f>
        <v>133409.24130356224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6.8318018535509561E-2</v>
      </c>
      <c r="G47" s="243">
        <f>G45/(G4+G6+G8)</f>
        <v>7.2770859981504732E-2</v>
      </c>
      <c r="I47" s="243">
        <f>I45/(I4+I6+I8)</f>
        <v>7.6951178151717245E-2</v>
      </c>
      <c r="K47" s="243">
        <f>K45/(K4+K6+K8)</f>
        <v>8.086400886052203E-2</v>
      </c>
      <c r="M47" s="243">
        <f>M45/(M4+M6+M8)</f>
        <v>8.4514249437607714E-2</v>
      </c>
      <c r="O47" s="243">
        <f>O45/(O4+O6+O8)</f>
        <v>8.7906661952589962E-2</v>
      </c>
      <c r="Q47" s="243">
        <f>Q45/(Q4+Q6+Q8)</f>
        <v>9.1045876359479957E-2</v>
      </c>
      <c r="S47" s="243">
        <f>S45/(S4+S6+S8)</f>
        <v>9.3936393562957049E-2</v>
      </c>
      <c r="U47" s="243">
        <f>U45/(U4+U6+U8)</f>
        <v>9.6582588408329895E-2</v>
      </c>
      <c r="W47" s="243">
        <f>W45/(W4+W6+W8)</f>
        <v>9.8988712597035677E-2</v>
      </c>
      <c r="Y47" s="243">
        <f>Y45/(Y4+Y6+Y8)</f>
        <v>0.10115889752948029</v>
      </c>
      <c r="AA47" s="243">
        <f>AA45/(AA4+AA6+AA8)</f>
        <v>0.10309715707697503</v>
      </c>
      <c r="AC47" s="243">
        <f>AC45/(AC4+AC6+AC8)</f>
        <v>0.10480739028447987</v>
      </c>
      <c r="AE47" s="243">
        <f>AE45/(AE4+AE6+AE8)</f>
        <v>0.10629338400583342</v>
      </c>
      <c r="AG47" s="243">
        <f>AG45/(AG4+AG6+AG8)</f>
        <v>0.10755881547309488</v>
      </c>
    </row>
    <row r="48" spans="1:33" s="243" customFormat="1" ht="14.25">
      <c r="A48" s="243" t="s">
        <v>881</v>
      </c>
      <c r="C48" s="236"/>
      <c r="E48" s="243">
        <f>E45/E43</f>
        <v>0.20165856538158786</v>
      </c>
      <c r="G48" s="243">
        <f>G45/G43</f>
        <v>0.22017235318780196</v>
      </c>
      <c r="I48" s="243">
        <f>I45/I43</f>
        <v>0.23864064583003433</v>
      </c>
      <c r="K48" s="243">
        <f>K45/K43</f>
        <v>0.25704447620482856</v>
      </c>
      <c r="M48" s="243">
        <f>M45/M43</f>
        <v>0.27536377823420349</v>
      </c>
      <c r="O48" s="243">
        <f>O45/O43</f>
        <v>0.29357733750826936</v>
      </c>
      <c r="Q48" s="243">
        <f>Q45/Q43</f>
        <v>0.31166273992768867</v>
      </c>
      <c r="S48" s="243">
        <f>S45/S43</f>
        <v>0.32959631826918268</v>
      </c>
      <c r="U48" s="243">
        <f>U45/U43</f>
        <v>0.34735309659437136</v>
      </c>
      <c r="W48" s="243">
        <f>W45/W43</f>
        <v>0.3649067324193056</v>
      </c>
      <c r="Y48" s="243">
        <f>Y45/Y43</f>
        <v>0.38222945655897544</v>
      </c>
      <c r="AA48" s="243">
        <f>AA45/AA43</f>
        <v>0.39929201055788427</v>
      </c>
      <c r="AC48" s="243">
        <f>AC45/AC43</f>
        <v>0.41606358161446405</v>
      </c>
      <c r="AE48" s="243">
        <f>AE45/AE43</f>
        <v>0.43251173490373596</v>
      </c>
      <c r="AG48" s="243">
        <f>AG45/AG43</f>
        <v>0.44860234319902398</v>
      </c>
    </row>
    <row r="49" spans="1:35" s="244" customFormat="1" ht="14.25">
      <c r="A49" s="244" t="s">
        <v>879</v>
      </c>
      <c r="C49" s="245"/>
      <c r="E49" s="244">
        <f>E37/E43</f>
        <v>1.2016585653815879</v>
      </c>
      <c r="G49" s="244">
        <f>G37/G43</f>
        <v>1.2201723531878019</v>
      </c>
      <c r="I49" s="244">
        <f>I37/I43</f>
        <v>1.2386406458300343</v>
      </c>
      <c r="K49" s="244">
        <f>K37/K43</f>
        <v>1.2570444762048285</v>
      </c>
      <c r="M49" s="244">
        <f>M37/M43</f>
        <v>1.2753637782342035</v>
      </c>
      <c r="O49" s="244">
        <f>O37/O43</f>
        <v>1.2935773375082693</v>
      </c>
      <c r="Q49" s="244">
        <f>Q37/Q43</f>
        <v>1.3116627399276886</v>
      </c>
      <c r="S49" s="244">
        <f>S37/S43</f>
        <v>1.3295963182691828</v>
      </c>
      <c r="U49" s="244">
        <f>U37/U43</f>
        <v>1.3473530965943714</v>
      </c>
      <c r="W49" s="244">
        <f>W37/W43</f>
        <v>1.3649067324193056</v>
      </c>
      <c r="Y49" s="244">
        <f>Y37/Y43</f>
        <v>1.3822294565589754</v>
      </c>
      <c r="AA49" s="244">
        <f>AA37/AA43</f>
        <v>1.3992920105578843</v>
      </c>
      <c r="AC49" s="244">
        <f>AC37/AC43</f>
        <v>1.416063581614464</v>
      </c>
      <c r="AE49" s="244">
        <f>AE37/AE43</f>
        <v>1.432511734903736</v>
      </c>
      <c r="AG49" s="244">
        <f>AG37/AG43</f>
        <v>1.448602343199024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1" t="s">
        <v>1327</v>
      </c>
      <c r="B52" s="2551"/>
      <c r="C52" s="255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59970.966754372872</v>
      </c>
      <c r="G60" s="999">
        <f>G45-G58</f>
        <v>65476.756954372744</v>
      </c>
      <c r="I60" s="999">
        <f>I45-I58</f>
        <v>70969.017409372842</v>
      </c>
      <c r="K60" s="999">
        <f>K45-K58</f>
        <v>76442.107518247911</v>
      </c>
      <c r="M60" s="999">
        <f>M45-M58</f>
        <v>81890.059857331973</v>
      </c>
      <c r="O60" s="999">
        <f>O45-O58</f>
        <v>87306.565502093115</v>
      </c>
      <c r="Q60" s="999">
        <f>Q45-Q58</f>
        <v>92684.958753984596</v>
      </c>
      <c r="S60" s="999">
        <f>S45-S58</f>
        <v>98018.201249633508</v>
      </c>
      <c r="U60" s="999">
        <f>U45-U58</f>
        <v>103298.86542866117</v>
      </c>
      <c r="W60" s="999">
        <f>W45-W58</f>
        <v>108519.11733555893</v>
      </c>
      <c r="Y60" s="999">
        <f>Y45-Y58</f>
        <v>113670.69873012818</v>
      </c>
      <c r="AA60" s="999">
        <f>AA45-AA58</f>
        <v>118744.90848004381</v>
      </c>
      <c r="AC60" s="999">
        <f>AC45-AC58</f>
        <v>123732.58320811455</v>
      </c>
      <c r="AE60" s="999">
        <f>AE45-AE58</f>
        <v>128624.07716581092</v>
      </c>
      <c r="AG60" s="999">
        <f>AG45-AG58</f>
        <v>133409.24130356224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29985.483377186436</v>
      </c>
      <c r="G62" s="999">
        <f>G60*$C$62</f>
        <v>32738.378477186372</v>
      </c>
      <c r="I62" s="999">
        <f>I60*$C$62</f>
        <v>35484.508704686421</v>
      </c>
      <c r="K62" s="999">
        <f>K60*$C$62</f>
        <v>38221.053759123955</v>
      </c>
      <c r="M62" s="999">
        <f>M60*$C$62</f>
        <v>40945.029928665987</v>
      </c>
      <c r="O62" s="999">
        <f>O60*$C$62</f>
        <v>43653.282751046558</v>
      </c>
      <c r="Q62" s="999">
        <f>Q60*$C$62</f>
        <v>46342.479376992298</v>
      </c>
      <c r="S62" s="999">
        <f>S60*$C$62</f>
        <v>49009.100624816754</v>
      </c>
      <c r="U62" s="999">
        <f>U60*$C$62</f>
        <v>51649.432714330585</v>
      </c>
      <c r="W62" s="999">
        <f>W60*$C$62</f>
        <v>54259.558667779464</v>
      </c>
      <c r="Y62" s="999">
        <f>Y60*$C$62</f>
        <v>56835.349365064088</v>
      </c>
      <c r="AA62" s="999">
        <f>AA60*$C$62</f>
        <v>59372.454240021907</v>
      </c>
      <c r="AC62" s="999">
        <f>AC60*$C$62</f>
        <v>61866.291604057275</v>
      </c>
      <c r="AE62" s="999">
        <f>AE60*$C$62</f>
        <v>64312.038582905458</v>
      </c>
      <c r="AG62" s="999">
        <f>AG60*$C$62</f>
        <v>66704.620651781122</v>
      </c>
    </row>
    <row r="63" spans="1:35" s="999" customFormat="1">
      <c r="A63" s="2551" t="s">
        <v>1327</v>
      </c>
      <c r="B63" s="2551"/>
      <c r="C63" s="255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14992.741688593218</v>
      </c>
      <c r="G66" s="997">
        <f>G60*$C$65</f>
        <v>16369.189238593186</v>
      </c>
      <c r="I66" s="997">
        <f>I60*$C$65</f>
        <v>17742.25435234321</v>
      </c>
      <c r="K66" s="997">
        <f>K60*$C$65</f>
        <v>19110.526879561978</v>
      </c>
      <c r="M66" s="997">
        <f>M60*$C$65</f>
        <v>20472.514964332993</v>
      </c>
      <c r="O66" s="997">
        <f>O60*$C$65</f>
        <v>21826.641375523279</v>
      </c>
      <c r="Q66" s="997">
        <f>Q60*$C$65</f>
        <v>23171.239688496149</v>
      </c>
      <c r="S66" s="997">
        <f>S60*$C$65</f>
        <v>24504.550312408377</v>
      </c>
      <c r="U66" s="997">
        <f>U60*$C$65</f>
        <v>25824.716357165293</v>
      </c>
      <c r="W66" s="997">
        <f>W60*$C$65</f>
        <v>27129.779333889732</v>
      </c>
      <c r="Y66" s="997">
        <f>Y60*$C$65</f>
        <v>28417.674682532044</v>
      </c>
      <c r="AA66" s="997">
        <f>AA60*$C$65</f>
        <v>29686.227120010954</v>
      </c>
      <c r="AC66" s="997">
        <f>AC60*$C$65</f>
        <v>30933.145802028637</v>
      </c>
      <c r="AE66" s="997">
        <f>AE60*$C$65</f>
        <v>32156.019291452729</v>
      </c>
      <c r="AG66" s="997">
        <f>AG60*$C$65</f>
        <v>33352.310325890561</v>
      </c>
    </row>
    <row r="67" spans="1:35" s="997" customFormat="1">
      <c r="A67" s="1002"/>
      <c r="B67" s="1002"/>
      <c r="C67" s="1007"/>
      <c r="E67" s="1001">
        <f>$E60*$C$65</f>
        <v>14992.741688593218</v>
      </c>
      <c r="G67" s="997">
        <f>G60*$C$65</f>
        <v>16369.189238593186</v>
      </c>
      <c r="I67" s="997">
        <f>I60*$C$65</f>
        <v>17742.25435234321</v>
      </c>
      <c r="K67" s="997">
        <f>K60*$C$65</f>
        <v>19110.526879561978</v>
      </c>
      <c r="M67" s="997">
        <f>M60*$C$65</f>
        <v>20472.514964332993</v>
      </c>
      <c r="O67" s="997">
        <f>O60*$C$65</f>
        <v>21826.641375523279</v>
      </c>
      <c r="Q67" s="997">
        <f>Q60*$C$65</f>
        <v>23171.239688496149</v>
      </c>
      <c r="S67" s="997">
        <f>S60*$C$65</f>
        <v>24504.550312408377</v>
      </c>
      <c r="U67" s="997">
        <f>U60*$C$65</f>
        <v>25824.716357165293</v>
      </c>
      <c r="W67" s="997">
        <f>W60*$C$65</f>
        <v>27129.779333889732</v>
      </c>
      <c r="Y67" s="997">
        <f>Y60*$C$65</f>
        <v>28417.674682532044</v>
      </c>
      <c r="AA67" s="997">
        <f>AA60*$C$65</f>
        <v>29686.227120010954</v>
      </c>
      <c r="AC67" s="997">
        <f>AC60*$C$65</f>
        <v>30933.145802028637</v>
      </c>
      <c r="AE67" s="997">
        <f>AE60*$C$65</f>
        <v>32156.019291452729</v>
      </c>
      <c r="AG67" s="997">
        <f>AG60*$C$65</f>
        <v>33352.310325890561</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29985.483377186436</v>
      </c>
      <c r="G70" s="997">
        <f>SUM(G66:G69)</f>
        <v>32738.378477186372</v>
      </c>
      <c r="I70" s="997">
        <f>SUM(I66:I69)</f>
        <v>35484.508704686421</v>
      </c>
      <c r="K70" s="997">
        <f>SUM(K66:K69)</f>
        <v>38221.053759123955</v>
      </c>
      <c r="M70" s="997">
        <f>SUM(M66:M69)</f>
        <v>40945.029928665987</v>
      </c>
      <c r="O70" s="997">
        <f>SUM(O66:O69)</f>
        <v>43653.282751046558</v>
      </c>
      <c r="Q70" s="997">
        <f>SUM(Q66:Q69)</f>
        <v>46342.479376992298</v>
      </c>
      <c r="S70" s="997">
        <f>SUM(S66:S69)</f>
        <v>49009.100624816754</v>
      </c>
      <c r="U70" s="997">
        <f>SUM(U66:U69)</f>
        <v>51649.432714330585</v>
      </c>
      <c r="W70" s="997">
        <f>SUM(W66:W69)</f>
        <v>54259.558667779464</v>
      </c>
      <c r="Y70" s="997">
        <f>SUM(Y66:Y69)</f>
        <v>56835.349365064088</v>
      </c>
      <c r="AA70" s="997">
        <f>SUM(AA66:AA69)</f>
        <v>59372.454240021907</v>
      </c>
      <c r="AC70" s="997">
        <f>SUM(AC66:AC69)</f>
        <v>61866.291604057275</v>
      </c>
      <c r="AE70" s="997">
        <f>SUM(AE66:AE69)</f>
        <v>64312.038582905458</v>
      </c>
      <c r="AG70" s="997">
        <f>SUM(AG66:AG69)</f>
        <v>66704.620651781122</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9" t="s">
        <v>1982</v>
      </c>
      <c r="B77" s="2550"/>
      <c r="C77" s="2550"/>
      <c r="D77" s="2550"/>
      <c r="E77" s="2550"/>
      <c r="F77" s="2550"/>
      <c r="G77" s="2550"/>
      <c r="H77" s="2550"/>
      <c r="I77" s="2550"/>
      <c r="J77" s="2550"/>
      <c r="K77" s="2550"/>
      <c r="L77" s="2550"/>
      <c r="M77" s="2550"/>
      <c r="N77" s="2550"/>
      <c r="O77" s="2550"/>
      <c r="P77" s="2550"/>
      <c r="Q77" s="2550"/>
      <c r="R77" s="2550"/>
      <c r="S77" s="2550"/>
      <c r="T77" s="2550"/>
      <c r="U77" s="2550"/>
      <c r="V77" s="2550"/>
      <c r="W77" s="2550"/>
      <c r="X77" s="2550"/>
      <c r="Y77" s="2550"/>
      <c r="Z77" s="2550"/>
      <c r="AA77" s="2550"/>
      <c r="AB77" s="2550"/>
      <c r="AC77" s="2550"/>
      <c r="AD77" s="2550"/>
      <c r="AE77" s="2550"/>
      <c r="AF77" s="2550"/>
      <c r="AG77" s="255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1400000</v>
      </c>
      <c r="C5" s="286">
        <f>'Sources and Uses Budget'!$C4</f>
        <v>1400000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1400000</v>
      </c>
      <c r="C9" s="290">
        <f>SUM(C5:C8)</f>
        <v>1400000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250000</v>
      </c>
      <c r="C11" s="286">
        <f>'Sources and Uses Budget'!$C10</f>
        <v>250000</v>
      </c>
      <c r="D11" s="290">
        <f t="shared" si="0"/>
        <v>0</v>
      </c>
      <c r="E11" s="288"/>
      <c r="F11" s="287"/>
      <c r="G11" s="384"/>
    </row>
    <row r="12" spans="1:7" s="381" customFormat="1">
      <c r="A12" s="397" t="s">
        <v>606</v>
      </c>
      <c r="B12" s="290">
        <f>SUM(B10:B11)</f>
        <v>250000</v>
      </c>
      <c r="C12" s="290">
        <f>SUM(C10:C11)</f>
        <v>250000</v>
      </c>
      <c r="D12" s="290">
        <f t="shared" si="0"/>
        <v>0</v>
      </c>
      <c r="E12" s="288"/>
      <c r="F12" s="287"/>
      <c r="G12" s="384"/>
    </row>
    <row r="13" spans="1:7" s="381" customFormat="1">
      <c r="A13" s="397" t="s">
        <v>85</v>
      </c>
      <c r="B13" s="290">
        <f>SUM(B9+B12)</f>
        <v>1650000</v>
      </c>
      <c r="C13" s="290">
        <f>SUM(C9+C12)</f>
        <v>1650000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3789930</v>
      </c>
      <c r="C30" s="286">
        <f>'Sources and Uses Budget'!$C29</f>
        <v>3789930</v>
      </c>
      <c r="D30" s="290">
        <f t="shared" si="0"/>
        <v>0</v>
      </c>
      <c r="E30" s="288"/>
      <c r="F30" s="287"/>
      <c r="G30" s="384"/>
    </row>
    <row r="31" spans="1:7" s="381" customFormat="1">
      <c r="A31" s="145" t="s">
        <v>609</v>
      </c>
      <c r="B31" s="286">
        <f>'Sources and Uses Budget'!$C30</f>
        <v>18641685</v>
      </c>
      <c r="C31" s="286">
        <f>'Sources and Uses Budget'!$C30</f>
        <v>18641685</v>
      </c>
      <c r="D31" s="290">
        <f t="shared" si="0"/>
        <v>0</v>
      </c>
      <c r="E31" s="288"/>
      <c r="F31" s="287"/>
      <c r="G31" s="384"/>
    </row>
    <row r="32" spans="1:7" s="381" customFormat="1">
      <c r="A32" s="145" t="s">
        <v>610</v>
      </c>
      <c r="B32" s="286">
        <f>'Sources and Uses Budget'!$C31</f>
        <v>1300000</v>
      </c>
      <c r="C32" s="286">
        <f>'Sources and Uses Budget'!$C31</f>
        <v>1300000</v>
      </c>
      <c r="D32" s="290">
        <f t="shared" si="0"/>
        <v>0</v>
      </c>
      <c r="E32" s="288"/>
      <c r="F32" s="287"/>
      <c r="G32" s="384"/>
    </row>
    <row r="33" spans="1:7" s="381" customFormat="1">
      <c r="A33" s="145" t="s">
        <v>138</v>
      </c>
      <c r="B33" s="286">
        <f>'Sources and Uses Budget'!$C32</f>
        <v>1200000</v>
      </c>
      <c r="C33" s="286">
        <f>'Sources and Uses Budget'!$C32</f>
        <v>1200000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592339</v>
      </c>
      <c r="C36" s="286">
        <f>'Sources and Uses Budget'!$C35</f>
        <v>592339</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Solar</v>
      </c>
      <c r="B38" s="286">
        <f>'Sources and Uses Budget'!$C37</f>
        <v>1500000</v>
      </c>
      <c r="C38" s="286">
        <f>'Sources and Uses Budget'!$C37</f>
        <v>1500000</v>
      </c>
      <c r="D38" s="290">
        <f t="shared" si="0"/>
        <v>0</v>
      </c>
      <c r="E38" s="288"/>
      <c r="F38" s="287"/>
      <c r="G38" s="384"/>
    </row>
    <row r="39" spans="1:7" s="381" customFormat="1">
      <c r="A39" s="291" t="s">
        <v>144</v>
      </c>
      <c r="B39" s="290">
        <f>SUM(B30:B38)</f>
        <v>27023954</v>
      </c>
      <c r="C39" s="290">
        <f>SUM(C30:C38)</f>
        <v>27023954</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795659</v>
      </c>
      <c r="C41" s="286">
        <f>'Sources and Uses Budget'!$C40</f>
        <v>795659</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795659</v>
      </c>
      <c r="C43" s="290">
        <f>SUM(C41:C42)</f>
        <v>795659</v>
      </c>
      <c r="D43" s="290">
        <f t="shared" si="0"/>
        <v>0</v>
      </c>
      <c r="E43" s="288"/>
      <c r="F43" s="287"/>
      <c r="G43" s="384"/>
    </row>
    <row r="44" spans="1:7" s="381" customFormat="1">
      <c r="A44" s="291" t="s">
        <v>149</v>
      </c>
      <c r="B44" s="286">
        <f>'Sources and Uses Budget'!$C43</f>
        <v>145000</v>
      </c>
      <c r="C44" s="286">
        <f>'Sources and Uses Budget'!$C43</f>
        <v>145000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4700000</v>
      </c>
      <c r="C46" s="286">
        <f>'Sources and Uses Budget'!$C45</f>
        <v>4700000</v>
      </c>
      <c r="D46" s="290">
        <f t="shared" si="0"/>
        <v>0</v>
      </c>
      <c r="E46" s="288"/>
      <c r="F46" s="287"/>
      <c r="G46" s="384"/>
    </row>
    <row r="47" spans="1:7" s="381" customFormat="1">
      <c r="A47" s="145" t="s">
        <v>152</v>
      </c>
      <c r="B47" s="286">
        <f>'Sources and Uses Budget'!$C46</f>
        <v>387000</v>
      </c>
      <c r="C47" s="286">
        <f>'Sources and Uses Budget'!$C46</f>
        <v>387000</v>
      </c>
      <c r="D47" s="290">
        <f t="shared" si="0"/>
        <v>0</v>
      </c>
      <c r="E47" s="288"/>
      <c r="F47" s="287"/>
      <c r="G47" s="384"/>
    </row>
    <row r="48" spans="1:7" s="381" customFormat="1" ht="12" customHeight="1">
      <c r="A48" s="198" t="s">
        <v>153</v>
      </c>
      <c r="B48" s="286">
        <f>'Sources and Uses Budget'!$C47</f>
        <v>88892</v>
      </c>
      <c r="C48" s="286">
        <f>'Sources and Uses Budget'!$C47</f>
        <v>88892</v>
      </c>
      <c r="D48" s="290">
        <f t="shared" si="0"/>
        <v>0</v>
      </c>
      <c r="E48" s="288"/>
      <c r="F48" s="287"/>
      <c r="G48" s="384"/>
    </row>
    <row r="49" spans="1:7" s="381" customFormat="1">
      <c r="A49" s="145" t="s">
        <v>154</v>
      </c>
      <c r="B49" s="286">
        <f>'Sources and Uses Budget'!$C48</f>
        <v>166250</v>
      </c>
      <c r="C49" s="286">
        <f>'Sources and Uses Budget'!$C48</f>
        <v>166250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150000</v>
      </c>
      <c r="C51" s="286">
        <f>'Sources and Uses Budget'!$C50</f>
        <v>150000</v>
      </c>
      <c r="D51" s="290">
        <f t="shared" si="0"/>
        <v>0</v>
      </c>
      <c r="E51" s="288"/>
      <c r="F51" s="287"/>
      <c r="G51" s="384"/>
    </row>
    <row r="52" spans="1:7" s="381" customFormat="1">
      <c r="A52" s="304" t="s">
        <v>155</v>
      </c>
      <c r="B52" s="286">
        <f>'Sources and Uses Budget'!$C51</f>
        <v>5000</v>
      </c>
      <c r="C52" s="286">
        <f>'Sources and Uses Budget'!$C51</f>
        <v>5000</v>
      </c>
      <c r="D52" s="290">
        <f t="shared" si="0"/>
        <v>0</v>
      </c>
      <c r="E52" s="288"/>
      <c r="F52" s="287"/>
      <c r="G52" s="384"/>
    </row>
    <row r="53" spans="1:7" s="381" customFormat="1">
      <c r="A53" s="145" t="s">
        <v>156</v>
      </c>
      <c r="B53" s="286">
        <f>'Sources and Uses Budget'!$C52</f>
        <v>525000</v>
      </c>
      <c r="C53" s="286">
        <f>'Sources and Uses Budget'!$C52</f>
        <v>525000</v>
      </c>
      <c r="D53" s="290">
        <f t="shared" si="0"/>
        <v>0</v>
      </c>
      <c r="E53" s="288"/>
      <c r="F53" s="287"/>
      <c r="G53" s="384"/>
    </row>
    <row r="54" spans="1:7" s="381" customFormat="1">
      <c r="A54" s="155" t="str">
        <f>'Sources and Uses Budget'!A53</f>
        <v>Other: Wetland Mitigation Credits</v>
      </c>
      <c r="B54" s="286">
        <f>'Sources and Uses Budget'!$C53</f>
        <v>300000</v>
      </c>
      <c r="C54" s="286">
        <f>'Sources and Uses Budget'!$C53</f>
        <v>300000</v>
      </c>
      <c r="D54" s="290">
        <f t="shared" si="0"/>
        <v>0</v>
      </c>
      <c r="E54" s="288"/>
      <c r="F54" s="287"/>
      <c r="G54" s="384"/>
    </row>
    <row r="55" spans="1:7" s="382" customFormat="1">
      <c r="A55" s="291" t="s">
        <v>158</v>
      </c>
      <c r="B55" s="293">
        <f>SUM(B46:B54)</f>
        <v>6322142</v>
      </c>
      <c r="C55" s="293">
        <f>SUM(C46:C54)</f>
        <v>6322142</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50000</v>
      </c>
      <c r="C57" s="286">
        <f>'Sources and Uses Budget'!$C56</f>
        <v>50000</v>
      </c>
      <c r="D57" s="290">
        <f t="shared" si="0"/>
        <v>0</v>
      </c>
      <c r="E57" s="288"/>
      <c r="F57" s="287"/>
      <c r="G57" s="384"/>
    </row>
    <row r="58" spans="1:7" s="381" customFormat="1" ht="12" customHeight="1">
      <c r="A58" s="289" t="s">
        <v>153</v>
      </c>
      <c r="B58" s="286">
        <f>'Sources and Uses Budget'!$C57</f>
        <v>125000</v>
      </c>
      <c r="C58" s="286">
        <f>'Sources and Uses Budget'!$C57</f>
        <v>125000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175000</v>
      </c>
      <c r="C63" s="290">
        <f>SUM(C57:C62)</f>
        <v>175000</v>
      </c>
      <c r="D63" s="290">
        <f t="shared" si="0"/>
        <v>0</v>
      </c>
      <c r="E63" s="288"/>
      <c r="F63" s="287"/>
      <c r="G63" s="384"/>
    </row>
    <row r="64" spans="1:7" s="381" customFormat="1">
      <c r="A64" s="294" t="s">
        <v>304</v>
      </c>
      <c r="B64" s="290">
        <f>SUM(B9+B12+B14+B15+B17+B26+B28+B39+B43+B44+B55+B63)</f>
        <v>36111755</v>
      </c>
      <c r="C64" s="290">
        <f>SUM(C9+C12+C14+C15+C17+C26+C28+C39+C43+C44+C55+C63)</f>
        <v>36111755</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125000</v>
      </c>
      <c r="C66" s="286">
        <f>'Sources and Uses Budget'!$C65</f>
        <v>125000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Bond Counsel &amp; Borrower Attorney</v>
      </c>
      <c r="B70" s="286">
        <f>'Sources and Uses Budget'!$C69</f>
        <v>295000</v>
      </c>
      <c r="C70" s="286">
        <f>'Sources and Uses Budget'!$C69</f>
        <v>295000</v>
      </c>
      <c r="D70" s="290">
        <f t="shared" si="0"/>
        <v>0</v>
      </c>
      <c r="E70" s="288"/>
      <c r="F70" s="287"/>
      <c r="G70" s="384"/>
    </row>
    <row r="71" spans="1:7" s="381" customFormat="1">
      <c r="A71" s="149" t="s">
        <v>1826</v>
      </c>
      <c r="B71" s="290">
        <f>SUM(B66:B70)</f>
        <v>420000</v>
      </c>
      <c r="C71" s="290">
        <f>SUM(C66:C70)</f>
        <v>420000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615</v>
      </c>
      <c r="B76" s="286">
        <f>'Sources and Uses Budget'!$C75</f>
        <v>192865</v>
      </c>
      <c r="C76" s="286">
        <f>'Sources and Uses Budget'!$C75</f>
        <v>192865</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192865</v>
      </c>
      <c r="C78" s="290">
        <f>SUM(C73:C77)</f>
        <v>192865</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1363698</v>
      </c>
      <c r="C80" s="286">
        <f>'Sources and Uses Budget'!$C79</f>
        <v>1363698</v>
      </c>
      <c r="D80" s="290">
        <f t="shared" si="1"/>
        <v>0</v>
      </c>
      <c r="E80" s="288"/>
      <c r="F80" s="287"/>
      <c r="G80" s="384"/>
    </row>
    <row r="81" spans="1:7" s="381" customFormat="1">
      <c r="A81" s="545" t="s">
        <v>58</v>
      </c>
      <c r="B81" s="286">
        <f>'Sources and Uses Budget'!$C80</f>
        <v>100000</v>
      </c>
      <c r="C81" s="286">
        <f>'Sources and Uses Budget'!$C80</f>
        <v>100000</v>
      </c>
      <c r="D81" s="290">
        <f>C81-B81</f>
        <v>0</v>
      </c>
      <c r="E81" s="288"/>
      <c r="F81" s="287"/>
      <c r="G81" s="384"/>
    </row>
    <row r="82" spans="1:7" s="381" customFormat="1">
      <c r="A82" s="291" t="s">
        <v>1352</v>
      </c>
      <c r="B82" s="290">
        <f>SUM(B80:B81)</f>
        <v>1463698</v>
      </c>
      <c r="C82" s="290">
        <f>SUM(C80:C81)</f>
        <v>1463698</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59764</v>
      </c>
      <c r="C84" s="286">
        <f>'Sources and Uses Budget'!$C83</f>
        <v>59764</v>
      </c>
      <c r="D84" s="290">
        <f t="shared" si="1"/>
        <v>0</v>
      </c>
      <c r="E84" s="288"/>
      <c r="F84" s="287"/>
      <c r="G84" s="384"/>
    </row>
    <row r="85" spans="1:7" s="381" customFormat="1">
      <c r="A85" s="289" t="s">
        <v>792</v>
      </c>
      <c r="B85" s="286">
        <f>'Sources and Uses Budget'!$C84</f>
        <v>149035</v>
      </c>
      <c r="C85" s="286">
        <f>'Sources and Uses Budget'!$C84</f>
        <v>149035</v>
      </c>
      <c r="D85" s="290">
        <f t="shared" si="1"/>
        <v>0</v>
      </c>
      <c r="E85" s="288"/>
      <c r="F85" s="287"/>
      <c r="G85" s="384"/>
    </row>
    <row r="86" spans="1:7" s="381" customFormat="1">
      <c r="A86" s="289" t="s">
        <v>793</v>
      </c>
      <c r="B86" s="286">
        <f>'Sources and Uses Budget'!$C85</f>
        <v>1474224</v>
      </c>
      <c r="C86" s="286">
        <f>'Sources and Uses Budget'!$C85</f>
        <v>1474224</v>
      </c>
      <c r="D86" s="290">
        <f t="shared" si="1"/>
        <v>0</v>
      </c>
      <c r="E86" s="288"/>
      <c r="F86" s="287"/>
      <c r="G86" s="384"/>
    </row>
    <row r="87" spans="1:7" s="381" customFormat="1">
      <c r="A87" s="289" t="s">
        <v>794</v>
      </c>
      <c r="B87" s="286">
        <f>'Sources and Uses Budget'!$C86</f>
        <v>425776</v>
      </c>
      <c r="C87" s="286">
        <f>'Sources and Uses Budget'!$C86</f>
        <v>425776</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120000</v>
      </c>
      <c r="C89" s="286">
        <f>'Sources and Uses Budget'!$C88</f>
        <v>120000</v>
      </c>
      <c r="D89" s="290">
        <f t="shared" si="1"/>
        <v>0</v>
      </c>
      <c r="E89" s="288"/>
      <c r="F89" s="287"/>
      <c r="G89" s="384"/>
    </row>
    <row r="90" spans="1:7" s="381" customFormat="1">
      <c r="A90" s="289" t="s">
        <v>797</v>
      </c>
      <c r="B90" s="286">
        <f>'Sources and Uses Budget'!$C89</f>
        <v>150000</v>
      </c>
      <c r="C90" s="286">
        <f>'Sources and Uses Budget'!$C89</f>
        <v>150000</v>
      </c>
      <c r="D90" s="290">
        <f t="shared" si="1"/>
        <v>0</v>
      </c>
      <c r="E90" s="288"/>
      <c r="F90" s="287"/>
      <c r="G90" s="384"/>
    </row>
    <row r="91" spans="1:7" s="381" customFormat="1">
      <c r="A91" s="289" t="s">
        <v>798</v>
      </c>
      <c r="B91" s="286">
        <f>'Sources and Uses Budget'!$C90</f>
        <v>6200</v>
      </c>
      <c r="C91" s="286">
        <f>'Sources and Uses Budget'!$C90</f>
        <v>6200</v>
      </c>
      <c r="D91" s="290">
        <f t="shared" si="1"/>
        <v>0</v>
      </c>
      <c r="E91" s="288"/>
      <c r="F91" s="287"/>
      <c r="G91" s="384"/>
    </row>
    <row r="92" spans="1:7" s="381" customFormat="1">
      <c r="A92" s="289" t="s">
        <v>374</v>
      </c>
      <c r="B92" s="286">
        <f>'Sources and Uses Budget'!$C91</f>
        <v>50500</v>
      </c>
      <c r="C92" s="286">
        <f>'Sources and Uses Budget'!$C91</f>
        <v>50500</v>
      </c>
      <c r="D92" s="290">
        <f t="shared" si="1"/>
        <v>0</v>
      </c>
      <c r="E92" s="288"/>
      <c r="F92" s="287"/>
      <c r="G92" s="384"/>
    </row>
    <row r="93" spans="1:7" s="381" customFormat="1">
      <c r="A93" s="545" t="s">
        <v>1354</v>
      </c>
      <c r="B93" s="286">
        <f>'Sources and Uses Budget'!$C92</f>
        <v>3000</v>
      </c>
      <c r="C93" s="286">
        <f>'Sources and Uses Budget'!$C92</f>
        <v>3000</v>
      </c>
      <c r="D93" s="290">
        <f t="shared" si="1"/>
        <v>0</v>
      </c>
      <c r="E93" s="288"/>
      <c r="F93" s="287"/>
      <c r="G93" s="384"/>
    </row>
    <row r="94" spans="1:7" s="381" customFormat="1">
      <c r="A94" s="292" t="s">
        <v>34</v>
      </c>
      <c r="B94" s="286">
        <f>'Sources and Uses Budget'!$C93</f>
        <v>125000</v>
      </c>
      <c r="C94" s="286">
        <f>'Sources and Uses Budget'!$C93</f>
        <v>125000</v>
      </c>
      <c r="D94" s="290">
        <f t="shared" si="1"/>
        <v>0</v>
      </c>
      <c r="E94" s="288"/>
      <c r="F94" s="287"/>
      <c r="G94" s="384"/>
    </row>
    <row r="95" spans="1:7" s="381" customFormat="1">
      <c r="A95" s="292" t="s">
        <v>34</v>
      </c>
      <c r="B95" s="286">
        <f>'Sources and Uses Budget'!$C94</f>
        <v>20000</v>
      </c>
      <c r="C95" s="286">
        <f>'Sources and Uses Budget'!$C94</f>
        <v>20000</v>
      </c>
      <c r="D95" s="290">
        <f t="shared" si="1"/>
        <v>0</v>
      </c>
      <c r="E95" s="288"/>
      <c r="F95" s="287"/>
      <c r="G95" s="384"/>
    </row>
    <row r="96" spans="1:7" s="381" customFormat="1">
      <c r="A96" s="292" t="s">
        <v>34</v>
      </c>
      <c r="B96" s="286">
        <f>'Sources and Uses Budget'!$C95</f>
        <v>265000</v>
      </c>
      <c r="C96" s="286">
        <f>'Sources and Uses Budget'!$C95</f>
        <v>265000</v>
      </c>
      <c r="D96" s="290">
        <f t="shared" si="1"/>
        <v>0</v>
      </c>
      <c r="E96" s="288"/>
      <c r="F96" s="287"/>
      <c r="G96" s="384"/>
    </row>
    <row r="97" spans="1:7" s="381" customFormat="1">
      <c r="A97" s="291" t="s">
        <v>799</v>
      </c>
      <c r="B97" s="290">
        <f>SUM(B84:B96)</f>
        <v>2848499</v>
      </c>
      <c r="C97" s="290">
        <f>SUM(C84:C96)</f>
        <v>2848499</v>
      </c>
      <c r="D97" s="290">
        <f t="shared" si="1"/>
        <v>0</v>
      </c>
      <c r="E97" s="288"/>
      <c r="F97" s="287"/>
      <c r="G97" s="384"/>
    </row>
    <row r="98" spans="1:7" s="381" customFormat="1">
      <c r="A98" s="291" t="s">
        <v>800</v>
      </c>
      <c r="B98" s="290">
        <f>SUM(B64+B71+B78+B82+B97)</f>
        <v>41036817</v>
      </c>
      <c r="C98" s="290">
        <f>SUM(C64+C71+C78+C82+C97)</f>
        <v>41036817</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3000000</v>
      </c>
      <c r="C100" s="286">
        <f>'Sources and Uses Budget'!$C99</f>
        <v>3000000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3000000</v>
      </c>
      <c r="C105" s="290">
        <f>SUM(C100:C104)</f>
        <v>3000000</v>
      </c>
      <c r="D105" s="290">
        <f t="shared" si="1"/>
        <v>0</v>
      </c>
      <c r="E105" s="288"/>
      <c r="F105" s="287"/>
      <c r="G105" s="384"/>
    </row>
    <row r="106" spans="1:7" s="381" customFormat="1">
      <c r="A106" s="291" t="s">
        <v>805</v>
      </c>
      <c r="B106" s="293">
        <f>SUM(B98+B105)</f>
        <v>44036817</v>
      </c>
      <c r="C106" s="293">
        <f>SUM(C98+C105)</f>
        <v>44036817</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846</v>
      </c>
      <c r="B6" s="1300"/>
      <c r="C6" s="1262"/>
      <c r="D6" s="1262"/>
      <c r="E6" s="1262"/>
      <c r="F6" s="1262"/>
      <c r="G6" s="1262"/>
      <c r="I6" t="s">
        <v>601</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4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1243</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1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847</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2445</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2443</v>
      </c>
      <c r="B73" s="1267"/>
      <c r="C73" s="1267"/>
      <c r="D73" s="1267"/>
      <c r="E73" s="1267"/>
    </row>
    <row r="74" spans="1:9" ht="12.75">
      <c r="A74" s="1267" t="s">
        <v>2444</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84" zoomScaleNormal="100" zoomScaleSheetLayoutView="100" workbookViewId="0">
      <selection activeCell="F1109" sqref="F1109"/>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2611</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2740</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2740</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2741</v>
      </c>
      <c r="D24" s="1275" t="s">
        <v>1190</v>
      </c>
      <c r="E24" s="1275"/>
      <c r="F24" s="1275"/>
      <c r="I24" s="436" t="s">
        <v>2149</v>
      </c>
    </row>
    <row r="25" spans="1:9" ht="14.25">
      <c r="A25" s="519"/>
      <c r="B25" s="519"/>
      <c r="D25" s="1275"/>
      <c r="E25" s="1275"/>
      <c r="F25" s="1275"/>
    </row>
    <row r="26" spans="1:9"/>
    <row r="27" spans="1:9" ht="14.25">
      <c r="A27" s="519"/>
      <c r="B27" s="520" t="s">
        <v>2740</v>
      </c>
      <c r="D27" s="1275" t="s">
        <v>2446</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2741</v>
      </c>
      <c r="D33" s="1275" t="s">
        <v>2447</v>
      </c>
      <c r="E33" s="1275"/>
      <c r="F33" s="1275"/>
      <c r="I33" s="436" t="s">
        <v>2148</v>
      </c>
    </row>
    <row r="34" spans="1:9">
      <c r="D34" s="1275"/>
      <c r="E34" s="1275"/>
      <c r="F34" s="1275"/>
    </row>
    <row r="35" spans="1:9" ht="14.25">
      <c r="A35" s="519"/>
      <c r="B35" s="519"/>
      <c r="D35" s="482"/>
    </row>
    <row r="36" spans="1:9" ht="14.45" customHeight="1">
      <c r="A36" s="519"/>
      <c r="B36" s="520" t="s">
        <v>2741</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2741</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2741</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2741</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2740</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2741</v>
      </c>
      <c r="D61" s="1275" t="s">
        <v>1198</v>
      </c>
      <c r="E61" s="1275"/>
      <c r="F61" s="1275"/>
      <c r="I61" s="436" t="s">
        <v>2150</v>
      </c>
    </row>
    <row r="62" spans="1:9">
      <c r="D62" s="1275"/>
      <c r="E62" s="1275"/>
      <c r="F62" s="1275"/>
    </row>
    <row r="63" spans="1:9">
      <c r="D63" s="1275"/>
      <c r="E63" s="1275"/>
      <c r="F63" s="1275"/>
    </row>
    <row r="64" spans="1:9"/>
    <row r="65" spans="1:9" ht="14.25">
      <c r="A65" s="519"/>
      <c r="B65" s="520" t="s">
        <v>2741</v>
      </c>
      <c r="D65" s="1275" t="s">
        <v>1199</v>
      </c>
      <c r="E65" s="1275"/>
      <c r="F65" s="1275"/>
      <c r="I65" s="436" t="s">
        <v>2151</v>
      </c>
    </row>
    <row r="66" spans="1:9">
      <c r="D66" s="1275"/>
      <c r="E66" s="1275"/>
      <c r="F66" s="1275"/>
    </row>
    <row r="67" spans="1:9"/>
    <row r="68" spans="1:9" ht="14.25">
      <c r="A68" s="519"/>
      <c r="B68" s="520" t="s">
        <v>2740</v>
      </c>
      <c r="D68" s="1275" t="s">
        <v>1200</v>
      </c>
      <c r="E68" s="1275"/>
      <c r="F68" s="1275"/>
    </row>
    <row r="69" spans="1:9">
      <c r="D69" s="1275"/>
      <c r="E69" s="1275"/>
      <c r="F69" s="1275"/>
      <c r="I69" s="436" t="s">
        <v>2152</v>
      </c>
    </row>
    <row r="70" spans="1:9">
      <c r="D70" s="1275"/>
      <c r="E70" s="1275"/>
      <c r="F70" s="1275"/>
    </row>
    <row r="71" spans="1:9"/>
    <row r="72" spans="1:9" ht="14.25">
      <c r="A72" s="519"/>
      <c r="B72" s="520" t="s">
        <v>2740</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2740</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2740</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2740</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2740</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2741</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2741</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2741</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2740</v>
      </c>
      <c r="C128" s="434"/>
      <c r="D128" s="1302" t="s">
        <v>2448</v>
      </c>
      <c r="E128" s="1302"/>
      <c r="F128" s="1302"/>
      <c r="I128" s="436" t="s">
        <v>2158</v>
      </c>
    </row>
    <row r="129" spans="1:9" ht="14.25">
      <c r="A129" s="519"/>
      <c r="B129" s="519"/>
      <c r="C129" s="434"/>
      <c r="D129" s="1302"/>
      <c r="E129" s="1302"/>
      <c r="F129" s="1302"/>
    </row>
    <row r="130" spans="1:9"/>
    <row r="131" spans="1:9" ht="14.25">
      <c r="A131" s="519"/>
      <c r="B131" s="520" t="s">
        <v>2740</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2740</v>
      </c>
      <c r="D137" s="1275" t="s">
        <v>1212</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2740</v>
      </c>
      <c r="D151" s="1275" t="s">
        <v>1320</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2472</v>
      </c>
      <c r="E169" s="1335"/>
      <c r="F169" s="1335"/>
      <c r="G169" s="542"/>
    </row>
    <row r="170" spans="1:9" ht="13.7" customHeight="1">
      <c r="D170" s="1308"/>
      <c r="E170" s="1308"/>
      <c r="F170" s="1308"/>
      <c r="G170" s="1308"/>
    </row>
    <row r="171" spans="1:9" ht="14.45" customHeight="1">
      <c r="A171" s="524"/>
      <c r="B171" s="520" t="s">
        <v>2741</v>
      </c>
      <c r="C171" s="511"/>
      <c r="D171" s="1263" t="s">
        <v>1367</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2740</v>
      </c>
      <c r="C175" s="511"/>
      <c r="D175" s="1263" t="s">
        <v>1214</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2741</v>
      </c>
      <c r="D180" s="1297" t="s">
        <v>2449</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2450</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2740</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2741</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2741</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2741</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2741</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2741</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2740</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2740</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2740</v>
      </c>
      <c r="D243" s="1275" t="s">
        <v>2451</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2741</v>
      </c>
      <c r="D248" s="1275" t="s">
        <v>2452</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2740</v>
      </c>
      <c r="D254" s="424" t="s">
        <v>2453</v>
      </c>
      <c r="E254" s="480"/>
      <c r="F254" s="480"/>
      <c r="I254" s="436" t="s">
        <v>2201</v>
      </c>
    </row>
    <row r="255" spans="1:9" ht="14.25">
      <c r="A255" s="519"/>
      <c r="B255" s="519"/>
      <c r="E255" s="1080" t="s">
        <v>2279</v>
      </c>
    </row>
    <row r="256" spans="1:9">
      <c r="D256" s="481"/>
      <c r="E256" s="481"/>
      <c r="F256" s="481"/>
    </row>
    <row r="257" spans="1:9" ht="14.25">
      <c r="A257" s="519"/>
      <c r="B257" s="520" t="s">
        <v>2740</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2740</v>
      </c>
      <c r="D265" s="1275" t="s">
        <v>1339</v>
      </c>
      <c r="E265" s="1275"/>
      <c r="F265" s="1275"/>
    </row>
    <row r="266" spans="1:9">
      <c r="D266" s="1275"/>
      <c r="E266" s="1275"/>
      <c r="F266" s="1275"/>
    </row>
    <row r="267" spans="1:9">
      <c r="E267" s="1080" t="s">
        <v>2280</v>
      </c>
    </row>
    <row r="268" spans="1:9">
      <c r="D268" s="481"/>
      <c r="E268" s="481"/>
      <c r="F268" s="481"/>
    </row>
    <row r="269" spans="1:9" ht="14.45" customHeight="1">
      <c r="A269" s="519"/>
      <c r="B269" s="520" t="s">
        <v>2741</v>
      </c>
      <c r="D269" s="1275" t="s">
        <v>2454</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2741</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2741</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2741</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2741</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1251</v>
      </c>
      <c r="E301" s="1304"/>
      <c r="F301" s="1304"/>
    </row>
    <row r="302" spans="1:9">
      <c r="C302" s="525"/>
      <c r="D302" s="528"/>
    </row>
    <row r="303" spans="1:9">
      <c r="B303" s="520" t="s">
        <v>2741</v>
      </c>
      <c r="D303" s="1304" t="s">
        <v>1252</v>
      </c>
      <c r="E303" s="1304"/>
      <c r="F303" s="1304"/>
      <c r="I303" s="436" t="s">
        <v>2166</v>
      </c>
    </row>
    <row r="304" spans="1:9" ht="14.25">
      <c r="A304" s="519"/>
      <c r="B304" s="519"/>
      <c r="D304" s="529"/>
      <c r="E304" s="530"/>
      <c r="F304" s="530"/>
    </row>
    <row r="305" spans="1:9" ht="13.7" customHeight="1">
      <c r="B305" s="520" t="s">
        <v>2741</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2741</v>
      </c>
      <c r="D311" s="1325" t="s">
        <v>1254</v>
      </c>
      <c r="E311" s="1325"/>
      <c r="F311" s="1325"/>
      <c r="I311" s="436" t="s">
        <v>2166</v>
      </c>
    </row>
    <row r="312" spans="1:9">
      <c r="D312" s="1325"/>
      <c r="E312" s="1325"/>
      <c r="F312" s="1325"/>
    </row>
    <row r="313" spans="1:9" ht="14.25">
      <c r="A313" s="519"/>
      <c r="B313" s="519"/>
      <c r="D313" s="529"/>
      <c r="E313" s="530"/>
      <c r="F313" s="530"/>
    </row>
    <row r="314" spans="1:9">
      <c r="B314" s="520" t="s">
        <v>2741</v>
      </c>
      <c r="D314" s="1304" t="s">
        <v>1255</v>
      </c>
      <c r="E314" s="1304"/>
      <c r="F314" s="1304"/>
      <c r="I314" s="436" t="s">
        <v>2152</v>
      </c>
    </row>
    <row r="315" spans="1:9">
      <c r="E315" s="481"/>
      <c r="F315" s="481"/>
    </row>
    <row r="316" spans="1:9" ht="14.25">
      <c r="A316" s="519"/>
      <c r="B316" s="520" t="s">
        <v>2741</v>
      </c>
      <c r="D316" s="1275" t="s">
        <v>2473</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2741</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2741</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2741</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2741</v>
      </c>
      <c r="C358" s="511"/>
      <c r="D358" s="1308" t="s">
        <v>2455</v>
      </c>
      <c r="E358" s="1308"/>
      <c r="F358" s="1308"/>
      <c r="I358" s="434"/>
    </row>
    <row r="359" spans="1:9">
      <c r="A359" s="511"/>
      <c r="B359" s="511"/>
      <c r="C359" s="511"/>
      <c r="D359" s="482"/>
      <c r="E359" s="482"/>
      <c r="F359" s="481"/>
    </row>
    <row r="360" spans="1:9">
      <c r="A360" s="511"/>
      <c r="B360" s="520" t="s">
        <v>2741</v>
      </c>
      <c r="C360" s="511"/>
      <c r="D360" s="1263" t="s">
        <v>2456</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2741</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2741</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2741</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2741</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2741</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2741</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2474</v>
      </c>
      <c r="E431" s="1263"/>
      <c r="F431" s="1263"/>
    </row>
    <row r="432" spans="1:6">
      <c r="D432" s="481"/>
      <c r="E432" s="481"/>
      <c r="F432" s="481"/>
    </row>
    <row r="433" spans="1:6" ht="14.25">
      <c r="A433" s="519"/>
      <c r="B433" s="520" t="s">
        <v>2741</v>
      </c>
      <c r="C433" s="522"/>
      <c r="D433" s="1275" t="s">
        <v>2457</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2741</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2741</v>
      </c>
      <c r="C469" s="519"/>
      <c r="D469" s="1275" t="s">
        <v>1340</v>
      </c>
      <c r="E469" s="1275"/>
      <c r="F469" s="1275"/>
    </row>
    <row r="470" spans="1:6">
      <c r="D470" s="1275"/>
      <c r="E470" s="1275"/>
      <c r="F470" s="1275"/>
    </row>
    <row r="471" spans="1:6">
      <c r="D471" s="481"/>
      <c r="E471" s="481"/>
      <c r="F471" s="481"/>
    </row>
    <row r="472" spans="1:6" ht="14.25">
      <c r="B472" s="520" t="s">
        <v>2741</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2741</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2741</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2741</v>
      </c>
      <c r="C484" s="434"/>
      <c r="D484" s="1275"/>
      <c r="E484" s="1275"/>
      <c r="F484" s="1275"/>
    </row>
    <row r="485" spans="1:9">
      <c r="A485" s="434"/>
      <c r="C485" s="434"/>
      <c r="D485" s="1275"/>
      <c r="E485" s="1275"/>
      <c r="F485" s="1275"/>
    </row>
    <row r="486" spans="1:9">
      <c r="A486" s="434"/>
      <c r="B486" s="520" t="s">
        <v>2741</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2741</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1275</v>
      </c>
      <c r="E497" s="1308"/>
      <c r="F497" s="1308"/>
    </row>
    <row r="498" spans="1:9" ht="14.25">
      <c r="A498" s="519"/>
      <c r="B498" s="519"/>
      <c r="D498" s="482"/>
    </row>
    <row r="499" spans="1:9" ht="14.25">
      <c r="A499" s="519"/>
      <c r="B499" s="520" t="s">
        <v>2741</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2741</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2741</v>
      </c>
      <c r="D507" s="1304" t="s">
        <v>1279</v>
      </c>
      <c r="E507" s="1304"/>
      <c r="F507" s="1304"/>
      <c r="I507" s="436" t="s">
        <v>2171</v>
      </c>
    </row>
    <row r="508" spans="1:9" ht="14.25">
      <c r="A508" s="519"/>
      <c r="B508" s="519"/>
      <c r="D508" s="481"/>
    </row>
    <row r="509" spans="1:9" ht="14.25">
      <c r="A509" s="519"/>
      <c r="B509" s="520" t="s">
        <v>2741</v>
      </c>
      <c r="D509" s="1275" t="s">
        <v>1280</v>
      </c>
      <c r="E509" s="1275"/>
      <c r="F509" s="1275"/>
      <c r="I509" s="436" t="s">
        <v>2171</v>
      </c>
    </row>
    <row r="510" spans="1:9" ht="14.25">
      <c r="A510" s="519"/>
      <c r="D510" s="1275"/>
      <c r="E510" s="1275"/>
      <c r="F510" s="1275"/>
    </row>
    <row r="511" spans="1:9">
      <c r="A511" s="525"/>
      <c r="B511" s="525"/>
      <c r="D511" s="482"/>
    </row>
    <row r="512" spans="1:9">
      <c r="A512" s="525"/>
      <c r="B512" s="520" t="s">
        <v>2741</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2740</v>
      </c>
      <c r="C520" s="518"/>
      <c r="D520" s="1263" t="s">
        <v>2458</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2741</v>
      </c>
      <c r="D523" s="418" t="s">
        <v>2286</v>
      </c>
      <c r="E523" s="417"/>
      <c r="F523" s="417"/>
      <c r="I523" s="436" t="s">
        <v>2172</v>
      </c>
    </row>
    <row r="524" spans="1:9">
      <c r="A524" s="518"/>
      <c r="B524" s="518"/>
      <c r="C524" s="518"/>
      <c r="D524" s="417"/>
      <c r="E524" s="96" t="s">
        <v>2287</v>
      </c>
    </row>
    <row r="525" spans="1:9">
      <c r="A525" s="518"/>
      <c r="B525" s="518"/>
      <c r="D525" s="1319" t="s">
        <v>2459</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2741</v>
      </c>
      <c r="C529" s="518"/>
      <c r="D529" s="1275" t="s">
        <v>2460</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1175</v>
      </c>
      <c r="E539" s="1304"/>
      <c r="F539" s="1304"/>
    </row>
    <row r="540" spans="1:9">
      <c r="C540" s="522"/>
      <c r="D540" s="481"/>
      <c r="E540" s="481"/>
      <c r="F540" s="481"/>
    </row>
    <row r="541" spans="1:9" ht="13.7" customHeight="1">
      <c r="A541" s="519"/>
      <c r="B541" s="520" t="s">
        <v>2740</v>
      </c>
      <c r="C541" s="522"/>
      <c r="D541" s="1304" t="s">
        <v>914</v>
      </c>
      <c r="E541" s="1304"/>
      <c r="F541" s="1304"/>
      <c r="I541" s="436" t="s">
        <v>2222</v>
      </c>
    </row>
    <row r="542" spans="1:9" ht="13.7" customHeight="1">
      <c r="A542" s="522"/>
      <c r="B542" s="522"/>
      <c r="C542" s="522"/>
      <c r="D542" s="481"/>
    </row>
    <row r="543" spans="1:9" ht="14.25">
      <c r="A543" s="519"/>
      <c r="B543" s="520" t="s">
        <v>2740</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2740</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2740</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2740</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2741</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2741</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2740</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2740</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2740</v>
      </c>
      <c r="C571" s="522"/>
      <c r="D571" s="1275" t="s">
        <v>2461</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2740</v>
      </c>
      <c r="D581" s="1297" t="s">
        <v>920</v>
      </c>
      <c r="E581" s="1297"/>
      <c r="F581" s="1297"/>
    </row>
    <row r="582" spans="1:9">
      <c r="A582" s="525"/>
      <c r="B582" s="525"/>
      <c r="D582" s="511"/>
    </row>
    <row r="583" spans="1:9">
      <c r="A583" s="525"/>
      <c r="B583" s="520" t="s">
        <v>2740</v>
      </c>
      <c r="D583" s="1297" t="s">
        <v>2462</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2741</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2740</v>
      </c>
      <c r="D592" s="1297" t="s">
        <v>2463</v>
      </c>
      <c r="E592" s="1297"/>
      <c r="F592" s="1297"/>
    </row>
    <row r="593" spans="1:9">
      <c r="A593" s="525"/>
      <c r="B593" s="525"/>
      <c r="D593" s="1297"/>
      <c r="E593" s="1297"/>
      <c r="F593" s="1297"/>
    </row>
    <row r="594" spans="1:9">
      <c r="A594" s="525"/>
      <c r="B594" s="525"/>
      <c r="D594" s="534"/>
    </row>
    <row r="595" spans="1:9">
      <c r="A595" s="525"/>
      <c r="B595" s="520" t="s">
        <v>2741</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2740</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2740</v>
      </c>
      <c r="D613" s="1277" t="s">
        <v>1225</v>
      </c>
      <c r="E613" s="1277"/>
      <c r="F613" s="1277"/>
      <c r="I613" s="436" t="s">
        <v>2227</v>
      </c>
    </row>
    <row r="614" spans="1:9">
      <c r="D614" s="1277"/>
      <c r="E614" s="1277"/>
      <c r="F614" s="1277"/>
    </row>
    <row r="615" spans="1:9"/>
    <row r="616" spans="1:9">
      <c r="B616" s="520" t="s">
        <v>2740</v>
      </c>
      <c r="D616" s="1277" t="s">
        <v>1226</v>
      </c>
      <c r="E616" s="1277"/>
      <c r="F616" s="1277"/>
      <c r="I616" s="436" t="s">
        <v>2180</v>
      </c>
    </row>
    <row r="617" spans="1:9">
      <c r="C617" s="535"/>
      <c r="D617" s="1277"/>
      <c r="E617" s="1277"/>
      <c r="F617" s="1277"/>
    </row>
    <row r="618" spans="1:9">
      <c r="C618" s="535"/>
    </row>
    <row r="619" spans="1:9">
      <c r="B619" s="520" t="s">
        <v>2741</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2740</v>
      </c>
      <c r="D626" s="1337" t="s">
        <v>2464</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2741</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2741</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2741</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2740</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2740</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2740</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2741</v>
      </c>
      <c r="C662" s="522"/>
      <c r="D662" s="1275" t="s">
        <v>2465</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2740</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2741</v>
      </c>
      <c r="C683" s="518"/>
      <c r="D683" s="1275" t="s">
        <v>2466</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2741</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2740</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2741</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2741</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2741</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2741</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2741</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2741</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2740</v>
      </c>
      <c r="C730" s="518"/>
      <c r="D730" s="1275" t="s">
        <v>2621</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2475</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2740</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2740</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2741</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2741</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2741</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2740</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2741</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2741</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2741</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2741</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2741</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2741</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2740</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2476</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2740</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2741</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2467</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2741</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2741</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2740</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2740</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2741</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2467</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2741</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2741</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2740</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2740</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2740</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2741</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2741</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2741</v>
      </c>
      <c r="C916" s="1026"/>
      <c r="D916" s="1280" t="s">
        <v>2468</v>
      </c>
      <c r="E916" s="1280"/>
      <c r="F916" s="1280"/>
      <c r="G916" s="1025"/>
    </row>
    <row r="917" spans="1:9" ht="12.75" customHeight="1">
      <c r="A917" s="1026"/>
      <c r="B917" s="1026"/>
      <c r="C917" s="1026"/>
      <c r="D917" s="118"/>
      <c r="E917" s="1025"/>
      <c r="F917" s="1025"/>
      <c r="G917" s="1025"/>
    </row>
    <row r="918" spans="1:9" ht="12.75" customHeight="1">
      <c r="A918" s="1026"/>
      <c r="B918" s="520" t="s">
        <v>2741</v>
      </c>
      <c r="C918" s="1026"/>
      <c r="D918" s="1280" t="s">
        <v>2469</v>
      </c>
      <c r="E918" s="1280"/>
      <c r="F918" s="1280"/>
      <c r="G918" s="1025"/>
    </row>
    <row r="919" spans="1:9" ht="12.75" customHeight="1">
      <c r="A919" s="175"/>
      <c r="B919" s="175"/>
      <c r="C919" s="175"/>
      <c r="D919" s="2"/>
      <c r="E919" s="3"/>
      <c r="F919" s="1025"/>
      <c r="G919" s="1025"/>
    </row>
    <row r="920" spans="1:9" ht="12.75" customHeight="1">
      <c r="A920" s="1034"/>
      <c r="B920" s="520" t="s">
        <v>2741</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2740</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2741</v>
      </c>
      <c r="C938" s="175"/>
      <c r="D938" s="1263" t="s">
        <v>2562</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2741</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2741</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2741</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2740</v>
      </c>
      <c r="C959" s="386"/>
      <c r="D959" s="1260" t="s">
        <v>2470</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2740</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2741</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2741</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2741</v>
      </c>
      <c r="C996" s="386"/>
      <c r="D996" s="1280" t="s">
        <v>2052</v>
      </c>
      <c r="E996" s="1280"/>
      <c r="F996" s="1280"/>
      <c r="G996"/>
    </row>
    <row r="997" spans="1:7" ht="12.75" customHeight="1">
      <c r="A997" s="386"/>
      <c r="B997" s="386"/>
      <c r="C997" s="386"/>
      <c r="D997" s="3"/>
      <c r="E997" s="3"/>
      <c r="F997" s="3"/>
      <c r="G997"/>
    </row>
    <row r="998" spans="1:7" ht="12.75" customHeight="1">
      <c r="A998" s="176"/>
      <c r="B998" s="520" t="s">
        <v>2741</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2740</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2740</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2741</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2741</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2741</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2741</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2740</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2741</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2741</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2740</v>
      </c>
      <c r="C1048" s="434"/>
      <c r="D1048" s="434" t="s">
        <v>2075</v>
      </c>
      <c r="I1048" s="436" t="s">
        <v>2190</v>
      </c>
    </row>
    <row r="1049" spans="1:9">
      <c r="A1049" s="434"/>
      <c r="B1049" s="434"/>
      <c r="C1049" s="434"/>
    </row>
    <row r="1050" spans="1:9">
      <c r="A1050" s="434"/>
      <c r="B1050" s="520" t="s">
        <v>2740</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2740</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2741</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2741</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2741</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2741</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2619</v>
      </c>
      <c r="E1085" s="1260"/>
      <c r="F1085" s="1260"/>
    </row>
    <row r="1086" spans="1:9">
      <c r="A1086" s="434"/>
      <c r="B1086" s="434"/>
      <c r="C1086" s="434"/>
      <c r="D1086" s="562"/>
    </row>
    <row r="1087" spans="1:9">
      <c r="A1087" s="434"/>
      <c r="B1087" s="520" t="s">
        <v>2741</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2741</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2741</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2740</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2740</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H17" sqref="H17"/>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35" t="s">
        <v>101</v>
      </c>
      <c r="B8" s="1735"/>
      <c r="C8" s="1735"/>
      <c r="D8" s="1735"/>
      <c r="E8" s="1735"/>
      <c r="F8" s="1735"/>
      <c r="G8" s="1735"/>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5"/>
      <c r="AF8" s="1735"/>
      <c r="AG8" s="1735"/>
      <c r="AH8" s="1735"/>
      <c r="AI8" s="1735"/>
      <c r="AJ8" s="1735"/>
      <c r="AK8" s="1735"/>
      <c r="AL8" s="1735"/>
      <c r="AM8" s="935"/>
      <c r="AN8" s="935"/>
      <c r="AO8" s="935"/>
      <c r="AP8" s="935"/>
      <c r="AQ8" s="935"/>
      <c r="AR8" s="935"/>
      <c r="AS8" s="935"/>
      <c r="AT8" s="935"/>
      <c r="AU8" s="935"/>
      <c r="AV8" s="935"/>
      <c r="AW8" s="935"/>
      <c r="AX8" s="935"/>
      <c r="AY8" s="935"/>
    </row>
    <row r="9" spans="1:51" ht="12.95" customHeight="1">
      <c r="A9" s="1300" t="s">
        <v>2477</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2610</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6" t="s">
        <v>2624</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c r="AM12" s="6"/>
      <c r="AN12" s="6"/>
      <c r="AO12" s="6"/>
      <c r="AP12" s="6"/>
      <c r="AQ12" s="6"/>
      <c r="AR12" s="6"/>
      <c r="AS12" s="6"/>
      <c r="AT12" s="6"/>
      <c r="AU12" s="6"/>
      <c r="AV12" s="6"/>
      <c r="AW12" s="6"/>
      <c r="AX12" s="6"/>
      <c r="AY12" s="6"/>
    </row>
    <row r="13" spans="1:51" ht="12.95" customHeight="1">
      <c r="A13" s="1270" t="s">
        <v>2478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542" t="s">
        <v>2625</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2.95" customHeight="1"/>
    <row r="18" spans="1:52" ht="12.95" customHeight="1">
      <c r="A18" s="57" t="s">
        <v>102</v>
      </c>
      <c r="C18" s="4"/>
      <c r="D18" s="4"/>
      <c r="E18" s="4"/>
      <c r="F18" s="4"/>
      <c r="G18" s="4"/>
      <c r="H18" s="1541" t="s">
        <v>2626</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row>
    <row r="19" spans="1:52" ht="12.95" customHeight="1"/>
    <row r="20" spans="1:52" ht="12.95" customHeight="1">
      <c r="A20" s="1552" t="s">
        <v>902</v>
      </c>
      <c r="B20" s="1552"/>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552"/>
      <c r="AM20" s="937"/>
      <c r="AN20" s="937"/>
      <c r="AO20" s="937"/>
      <c r="AP20" s="937"/>
      <c r="AQ20" s="937"/>
      <c r="AR20" s="937"/>
      <c r="AS20" s="937"/>
      <c r="AT20" s="937"/>
      <c r="AU20" s="937"/>
      <c r="AV20" s="937"/>
      <c r="AW20" s="937"/>
      <c r="AX20" s="937"/>
      <c r="AY20" s="937"/>
    </row>
    <row r="21" spans="1:52" ht="12.95" customHeight="1">
      <c r="A21" s="1559" t="s">
        <v>1066</v>
      </c>
      <c r="B21" s="1559"/>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8">
        <f>'Basis &amp; Credits'!AB56</f>
        <v>1947373</v>
      </c>
      <c r="N26" s="1558"/>
      <c r="O26" s="1558"/>
      <c r="P26" s="1558"/>
      <c r="Q26" s="1558"/>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8">
        <f>'Basis &amp; Credits'!AB77</f>
        <v>9004540</v>
      </c>
      <c r="N27" s="1498"/>
      <c r="O27" s="1498"/>
      <c r="P27" s="1498"/>
      <c r="Q27" s="1498"/>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679</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9"/>
      <c r="H122" s="1549"/>
      <c r="I122" s="3" t="s">
        <v>183</v>
      </c>
      <c r="L122" s="1549"/>
      <c r="M122" s="1549"/>
      <c r="N122" s="1549"/>
      <c r="O122" s="1564" t="s">
        <v>1426</v>
      </c>
      <c r="P122" s="1564"/>
      <c r="Q122" s="1564"/>
      <c r="R122" s="156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6"/>
      <c r="D124" s="1466"/>
      <c r="E124" s="1466"/>
      <c r="F124" s="1466"/>
      <c r="G124" s="1466"/>
      <c r="H124" s="1466"/>
      <c r="I124" s="1466"/>
      <c r="J124" s="1466"/>
      <c r="K124" s="146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9"/>
      <c r="Z126" s="1549"/>
      <c r="AA126" s="1549"/>
      <c r="AB126" s="1549"/>
      <c r="AC126" s="1549"/>
      <c r="AD126" s="1549"/>
      <c r="AE126" s="1549"/>
      <c r="AF126" s="1549"/>
      <c r="AG126" s="1549"/>
      <c r="AH126" s="1549"/>
      <c r="AI126" s="1549"/>
      <c r="AJ126" s="1549"/>
      <c r="AK126" s="1549"/>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9"/>
      <c r="Z129" s="1549"/>
      <c r="AA129" s="1549"/>
      <c r="AB129" s="1549"/>
      <c r="AC129" s="1549"/>
      <c r="AD129" s="1549"/>
      <c r="AE129" s="1549"/>
      <c r="AF129" s="1549"/>
      <c r="AG129" s="1549"/>
      <c r="AH129" s="1549"/>
      <c r="AI129" s="1549"/>
      <c r="AJ129" s="1549"/>
      <c r="AK129" s="154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9"/>
      <c r="Z132" s="1549"/>
      <c r="AA132" s="1549"/>
      <c r="AB132" s="1549"/>
      <c r="AC132" s="1549"/>
      <c r="AD132" s="1549"/>
      <c r="AE132" s="1549"/>
      <c r="AF132" s="1549"/>
      <c r="AG132" s="1549"/>
      <c r="AH132" s="1549"/>
      <c r="AI132" s="1549"/>
      <c r="AJ132" s="1549"/>
      <c r="AK132" s="1549"/>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41" t="s">
        <v>2627</v>
      </c>
      <c r="P153" s="1539"/>
      <c r="Q153" s="1539"/>
      <c r="R153" s="1539"/>
      <c r="S153" s="1539"/>
      <c r="T153" s="1539"/>
      <c r="U153" s="1539"/>
      <c r="V153" s="1539"/>
      <c r="W153" s="1539"/>
      <c r="X153" s="1539"/>
      <c r="Y153" s="1539"/>
      <c r="Z153" s="1539"/>
      <c r="AA153" s="1539"/>
      <c r="AB153" s="1539"/>
      <c r="AC153" s="1539"/>
      <c r="AD153" s="1539"/>
      <c r="AE153" s="1539"/>
      <c r="AF153" s="1539"/>
      <c r="AG153" s="1539"/>
      <c r="AH153" s="1539"/>
    </row>
    <row r="154" spans="1:72" ht="12.95" customHeight="1">
      <c r="D154" s="325" t="s">
        <v>443</v>
      </c>
      <c r="O154" s="1464" t="s">
        <v>2628</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445</v>
      </c>
      <c r="F155" s="8"/>
      <c r="G155" s="8"/>
      <c r="H155" s="8"/>
      <c r="I155" s="8"/>
      <c r="J155" s="8"/>
      <c r="K155" s="8"/>
      <c r="L155" s="8"/>
      <c r="M155" s="8"/>
      <c r="N155" s="8"/>
      <c r="O155" s="1561" t="s">
        <v>444</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315</v>
      </c>
      <c r="O156" s="1394" t="s">
        <v>2629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41" t="s">
        <v>2630</v>
      </c>
      <c r="P157" s="1539"/>
      <c r="Q157" s="1539"/>
      <c r="R157" s="1539"/>
      <c r="S157" s="1539"/>
      <c r="T157" s="1539"/>
      <c r="U157" s="1539"/>
      <c r="V157" s="1539"/>
      <c r="W157" s="1539"/>
      <c r="X157" s="1539"/>
      <c r="Y157" s="8"/>
      <c r="Z157" s="8"/>
      <c r="AA157" s="8"/>
      <c r="AB157" s="8"/>
      <c r="AC157" s="8"/>
      <c r="AD157" s="8"/>
      <c r="AE157" s="8"/>
      <c r="AF157" s="8"/>
      <c r="BN157" s="23" t="s">
        <v>646</v>
      </c>
      <c r="BT157" t="s">
        <v>486</v>
      </c>
    </row>
    <row r="158" spans="1:72" ht="12.95" customHeight="1">
      <c r="D158" t="s">
        <v>317</v>
      </c>
      <c r="O158" s="1562" t="s">
        <v>2631</v>
      </c>
      <c r="P158" s="1562"/>
      <c r="Q158" s="1562"/>
      <c r="R158" s="1562"/>
      <c r="S158" s="9"/>
      <c r="T158" s="9"/>
      <c r="U158" s="9"/>
      <c r="V158" s="9"/>
      <c r="W158" s="9"/>
      <c r="X158" s="9"/>
      <c r="Y158" s="9"/>
      <c r="Z158" s="9"/>
      <c r="AA158" s="9"/>
      <c r="AB158" s="9"/>
      <c r="AC158" s="9"/>
      <c r="AD158" s="9"/>
      <c r="AE158" s="9"/>
      <c r="AF158" s="9"/>
      <c r="BN158" s="23" t="s">
        <v>647</v>
      </c>
      <c r="BT158" t="s">
        <v>487</v>
      </c>
    </row>
    <row r="159" spans="1:72" ht="12.95" customHeight="1">
      <c r="D159" t="s">
        <v>318</v>
      </c>
      <c r="O159" s="1467">
        <v>5308967200</v>
      </c>
      <c r="P159" s="1467"/>
      <c r="Q159" s="1467"/>
      <c r="R159" s="1467"/>
      <c r="S159" s="1467"/>
      <c r="T159" s="1467"/>
      <c r="V159" s="97" t="s">
        <v>273</v>
      </c>
      <c r="W159" s="1563"/>
      <c r="X159" s="1563"/>
      <c r="Y159" s="10"/>
      <c r="Z159" s="10"/>
      <c r="AA159" s="10"/>
      <c r="AB159" s="10"/>
      <c r="AC159" s="10"/>
      <c r="AD159" s="10"/>
      <c r="AE159" s="10"/>
      <c r="AF159" s="10"/>
      <c r="BN159" s="23" t="s">
        <v>341</v>
      </c>
      <c r="BT159" t="s">
        <v>488</v>
      </c>
    </row>
    <row r="160" spans="1:72" ht="12.95" customHeight="1">
      <c r="D160" t="s">
        <v>319</v>
      </c>
      <c r="O160" s="1467">
        <v>5308954825</v>
      </c>
      <c r="P160" s="1467"/>
      <c r="Q160" s="1467"/>
      <c r="R160" s="1467"/>
      <c r="S160" s="1467"/>
      <c r="T160" s="1467"/>
      <c r="U160" s="10"/>
      <c r="V160" s="10"/>
      <c r="W160" s="10"/>
      <c r="X160" s="10"/>
      <c r="Y160" s="10"/>
      <c r="Z160" s="10"/>
      <c r="AA160" s="10"/>
      <c r="AB160" s="10"/>
      <c r="AC160" s="10"/>
      <c r="AD160" s="10"/>
      <c r="AE160" s="10"/>
      <c r="AF160" s="10"/>
      <c r="BN160" s="23" t="s">
        <v>670</v>
      </c>
      <c r="BT160" t="s">
        <v>489</v>
      </c>
    </row>
    <row r="161" spans="1:72" ht="12.95" customHeight="1">
      <c r="D161" t="s">
        <v>320</v>
      </c>
      <c r="O161" s="1468" t="s">
        <v>2632</v>
      </c>
      <c r="P161" s="1469"/>
      <c r="Q161" s="1469"/>
      <c r="R161" s="1469"/>
      <c r="S161" s="1469"/>
      <c r="T161" s="1469"/>
      <c r="U161" s="1469"/>
      <c r="V161" s="1469"/>
      <c r="W161" s="1469"/>
      <c r="X161" s="1469"/>
      <c r="Y161" s="1469"/>
      <c r="Z161" s="1469"/>
      <c r="AA161" s="1469"/>
      <c r="AB161" s="1469"/>
      <c r="AC161" s="1469"/>
      <c r="AD161" s="1469"/>
      <c r="AE161" s="1469"/>
      <c r="AF161" s="1469"/>
      <c r="AG161" s="1469"/>
      <c r="AH161" s="1469"/>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70" t="s">
        <v>1387</v>
      </c>
      <c r="E164" s="1470"/>
      <c r="F164" s="1470"/>
      <c r="G164" s="1470"/>
      <c r="H164" s="1470"/>
      <c r="I164" s="1470"/>
      <c r="J164" s="1470"/>
      <c r="K164" s="1470"/>
      <c r="L164" s="1470"/>
      <c r="M164" s="1470"/>
      <c r="N164" s="1470"/>
      <c r="O164" s="1470"/>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60" t="s">
        <v>373</v>
      </c>
      <c r="K173" s="1560"/>
      <c r="L173" s="1560"/>
      <c r="M173" s="1560"/>
      <c r="N173" s="1560"/>
      <c r="O173" s="1560"/>
      <c r="P173" s="1560"/>
      <c r="Q173" s="1560"/>
      <c r="R173" s="1560"/>
      <c r="S173" s="1560"/>
      <c r="U173" s="25"/>
      <c r="X173" s="25"/>
      <c r="BN173" s="23" t="s">
        <v>216</v>
      </c>
      <c r="BT173" t="s">
        <v>502</v>
      </c>
    </row>
    <row r="174" spans="1:72" ht="12.95" customHeight="1">
      <c r="C174" s="24"/>
      <c r="D174" s="3" t="s">
        <v>1345</v>
      </c>
      <c r="J174" s="1394" t="s">
        <v>2526</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555</v>
      </c>
      <c r="V175" s="1373"/>
      <c r="BN175" s="23" t="s">
        <v>219</v>
      </c>
      <c r="BT175" t="s">
        <v>504</v>
      </c>
    </row>
    <row r="176" spans="1:72" ht="12.95" customHeight="1">
      <c r="C176" s="8"/>
      <c r="D176" s="26"/>
      <c r="E176" t="s">
        <v>306</v>
      </c>
      <c r="O176" s="27"/>
      <c r="P176" t="s">
        <v>2499</v>
      </c>
      <c r="T176" s="27" t="s">
        <v>307</v>
      </c>
      <c r="U176" s="1553"/>
      <c r="V176" s="1553"/>
      <c r="W176" s="1" t="s">
        <v>308</v>
      </c>
      <c r="X176" s="1565"/>
      <c r="Y176" s="1565"/>
      <c r="BN176" s="23" t="s">
        <v>221</v>
      </c>
      <c r="BT176" t="s">
        <v>505</v>
      </c>
    </row>
    <row r="177" spans="1:72" ht="12.95" customHeight="1">
      <c r="C177" s="24"/>
      <c r="D177" t="s">
        <v>251</v>
      </c>
      <c r="R177" s="1373" t="s">
        <v>679</v>
      </c>
      <c r="S177" s="1373"/>
      <c r="BN177" s="23" t="s">
        <v>222</v>
      </c>
      <c r="BT177" t="s">
        <v>506</v>
      </c>
    </row>
    <row r="178" spans="1:72" ht="12.95" customHeight="1">
      <c r="C178" s="24"/>
      <c r="D178" s="3" t="s">
        <v>1346</v>
      </c>
      <c r="AA178" t="s">
        <v>2499</v>
      </c>
      <c r="AE178" s="27" t="s">
        <v>307</v>
      </c>
      <c r="AF178" s="1741"/>
      <c r="AG178" s="1741"/>
      <c r="AH178" s="1" t="s">
        <v>308</v>
      </c>
      <c r="AI178" s="1471"/>
      <c r="AJ178" s="1471"/>
      <c r="AK178" s="1471"/>
      <c r="BN178" s="23" t="s">
        <v>223</v>
      </c>
      <c r="BT178" t="s">
        <v>53</v>
      </c>
    </row>
    <row r="179" spans="1:72" ht="12.95" customHeight="1">
      <c r="C179" s="24"/>
      <c r="BN179" s="23" t="s">
        <v>224</v>
      </c>
      <c r="BT179" t="s">
        <v>54</v>
      </c>
    </row>
    <row r="180" spans="1:72" ht="12.95" customHeight="1">
      <c r="C180" s="24"/>
      <c r="D180" t="s">
        <v>2500</v>
      </c>
      <c r="X180" s="1373"/>
      <c r="Y180" s="1373"/>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7" t="str">
        <f>H18</f>
        <v>Bar Triangle Apartments</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597</v>
      </c>
      <c r="BN184" s="23" t="s">
        <v>232</v>
      </c>
      <c r="BT184" t="s">
        <v>62</v>
      </c>
    </row>
    <row r="185" spans="1:72" ht="12.95" customHeight="1">
      <c r="C185" s="21"/>
      <c r="D185" t="s">
        <v>589</v>
      </c>
      <c r="I185" s="1366" t="s">
        <v>2633</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5" customHeight="1">
      <c r="C189" s="21"/>
      <c r="D189" t="s">
        <v>590</v>
      </c>
      <c r="I189" s="1394" t="s">
        <v>2630</v>
      </c>
      <c r="J189" s="1394"/>
      <c r="K189" s="1394"/>
      <c r="L189" s="1394"/>
      <c r="M189" s="1394"/>
      <c r="N189" s="1394"/>
      <c r="O189" s="1394"/>
      <c r="P189" s="1394"/>
      <c r="Q189" t="s">
        <v>592</v>
      </c>
      <c r="T189" s="1394" t="s">
        <v>489</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95928</v>
      </c>
      <c r="J190" s="1366"/>
      <c r="K190" s="1366"/>
      <c r="L190" s="1366"/>
      <c r="M190" s="1366"/>
      <c r="N190" s="1366"/>
      <c r="O190" t="s">
        <v>595</v>
      </c>
      <c r="T190" s="1554">
        <v>9.0299999999999994</v>
      </c>
      <c r="U190" s="1554"/>
      <c r="V190" s="1554"/>
      <c r="W190" s="1554"/>
      <c r="X190" s="1554"/>
      <c r="Y190" s="1554"/>
      <c r="Z190" s="1554"/>
      <c r="AA190" s="1554"/>
      <c r="AB190" s="1554"/>
      <c r="AC190" s="1554"/>
      <c r="AD190" s="1554"/>
      <c r="AE190" s="1554"/>
      <c r="BC190" t="s">
        <v>1102</v>
      </c>
      <c r="BH190" t="s">
        <v>1102</v>
      </c>
      <c r="BN190" s="23" t="s">
        <v>645</v>
      </c>
      <c r="BT190" t="s">
        <v>68</v>
      </c>
    </row>
    <row r="191" spans="1:72" ht="12.95" customHeight="1">
      <c r="C191" s="21"/>
      <c r="D191" t="s">
        <v>472</v>
      </c>
      <c r="N191" s="1443" t="s">
        <v>2634</v>
      </c>
      <c r="O191" s="1443"/>
      <c r="P191" s="1443"/>
      <c r="Q191" s="1443"/>
      <c r="R191" s="1443"/>
      <c r="S191" s="1443"/>
      <c r="T191" s="1443"/>
      <c r="U191" s="1443"/>
      <c r="V191" s="1443"/>
      <c r="W191" s="1443"/>
      <c r="X191" s="1443"/>
      <c r="Y191" s="1443"/>
      <c r="Z191" s="1443"/>
      <c r="AA191" s="1443"/>
      <c r="AB191" s="1443"/>
      <c r="AC191" s="1443"/>
      <c r="AD191" s="1443"/>
      <c r="AE191" s="1443"/>
      <c r="BC191" t="s">
        <v>1101</v>
      </c>
      <c r="BH191" t="s">
        <v>1101</v>
      </c>
      <c r="BN191" s="23" t="s">
        <v>699</v>
      </c>
      <c r="BT191" t="s">
        <v>740</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1104</v>
      </c>
      <c r="BH192" s="3" t="s">
        <v>1808</v>
      </c>
      <c r="BN192" s="23" t="s">
        <v>700</v>
      </c>
      <c r="BT192" t="s">
        <v>741</v>
      </c>
    </row>
    <row r="193" spans="1:74" ht="12.95" customHeight="1">
      <c r="C193" s="21"/>
      <c r="D193" t="s">
        <v>2501</v>
      </c>
      <c r="M193" s="40"/>
      <c r="N193" s="930"/>
      <c r="O193" s="930"/>
      <c r="P193" s="930"/>
      <c r="Q193" s="930"/>
      <c r="R193" s="930"/>
      <c r="S193" s="930"/>
      <c r="T193" s="1568" t="s">
        <v>2322</v>
      </c>
      <c r="U193" s="1568"/>
      <c r="V193" s="1568"/>
      <c r="W193" s="1568"/>
      <c r="X193" s="1568"/>
      <c r="Y193" s="1568"/>
      <c r="Z193" s="1568"/>
      <c r="AA193" s="1568"/>
      <c r="AB193" s="1568"/>
      <c r="AC193" s="1568"/>
      <c r="AD193" s="1568"/>
      <c r="AE193" s="1568"/>
      <c r="AF193" s="1568"/>
      <c r="AG193" s="1568"/>
      <c r="AH193" s="1568"/>
      <c r="AI193" s="1568"/>
      <c r="BC193" t="s">
        <v>1103</v>
      </c>
      <c r="BH193" s="3" t="s">
        <v>1809</v>
      </c>
      <c r="BN193" s="23" t="s">
        <v>701</v>
      </c>
      <c r="BT193" t="s">
        <v>742</v>
      </c>
    </row>
    <row r="194" spans="1:74" ht="12.95" customHeight="1">
      <c r="C194" s="21"/>
      <c r="D194" t="s">
        <v>333</v>
      </c>
      <c r="T194" s="1373" t="s">
        <v>555</v>
      </c>
      <c r="U194" s="1373"/>
      <c r="W194" t="s">
        <v>695</v>
      </c>
      <c r="AH194" s="1373">
        <v>1</v>
      </c>
      <c r="AI194" s="1373"/>
      <c r="BC194" t="s">
        <v>1537</v>
      </c>
      <c r="BN194" s="23" t="s">
        <v>702</v>
      </c>
      <c r="BT194" t="s">
        <v>743</v>
      </c>
    </row>
    <row r="195" spans="1:74" ht="12.95" customHeight="1">
      <c r="C195" s="21"/>
      <c r="D195" t="s">
        <v>388</v>
      </c>
      <c r="T195" s="1355" t="s">
        <v>679</v>
      </c>
      <c r="U195" s="1355"/>
      <c r="W195" t="s">
        <v>696</v>
      </c>
      <c r="AH195" s="1373">
        <v>3</v>
      </c>
      <c r="AI195" s="1373"/>
      <c r="BC195" t="s">
        <v>2120</v>
      </c>
      <c r="BN195" s="23" t="s">
        <v>244</v>
      </c>
      <c r="BT195" t="s">
        <v>744</v>
      </c>
    </row>
    <row r="196" spans="1:74" ht="12.95" customHeight="1">
      <c r="C196" s="21"/>
      <c r="D196" s="3" t="s">
        <v>170</v>
      </c>
      <c r="T196" s="1355" t="s">
        <v>679</v>
      </c>
      <c r="U196" s="1355"/>
      <c r="W196" t="s">
        <v>697</v>
      </c>
      <c r="AH196" s="1373">
        <v>4</v>
      </c>
      <c r="AI196" s="1373"/>
      <c r="BN196" s="23" t="s">
        <v>245</v>
      </c>
      <c r="BT196" t="s">
        <v>69</v>
      </c>
    </row>
    <row r="197" spans="1:74" ht="12.95" customHeight="1">
      <c r="C197" s="21"/>
      <c r="D197" s="3" t="s">
        <v>1833</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1128</v>
      </c>
      <c r="BD202" s="470"/>
      <c r="BN202" s="23" t="s">
        <v>712</v>
      </c>
      <c r="BO202" s="14"/>
      <c r="BP202" s="32"/>
      <c r="BQ202" s="32"/>
      <c r="BR202" s="32"/>
      <c r="BS202" s="32"/>
      <c r="BT202" s="32" t="s">
        <v>197</v>
      </c>
    </row>
    <row r="203" spans="1:74" ht="12.95" customHeight="1">
      <c r="D203" s="1517" t="s">
        <v>387</v>
      </c>
      <c r="E203" s="1517"/>
      <c r="F203" s="1517"/>
      <c r="G203" s="1517"/>
      <c r="H203" s="1517"/>
      <c r="I203" s="1517"/>
      <c r="J203" s="1517"/>
      <c r="K203" s="1517"/>
      <c r="L203" s="1517"/>
      <c r="M203" s="1517"/>
      <c r="P203" s="1550">
        <f>M26</f>
        <v>1947373</v>
      </c>
      <c r="Q203" s="1551"/>
      <c r="R203" s="1551"/>
      <c r="S203" s="1551"/>
      <c r="T203" s="1551"/>
      <c r="U203" s="1551"/>
      <c r="Z203" s="1570" t="s">
        <v>2635</v>
      </c>
      <c r="AA203" s="1570"/>
      <c r="AB203" s="1570"/>
      <c r="AC203" s="1570"/>
      <c r="AD203" s="1570"/>
      <c r="AE203" s="1570"/>
      <c r="AF203" s="1570"/>
      <c r="BC203" t="s">
        <v>1129</v>
      </c>
      <c r="BN203" s="23" t="s">
        <v>713</v>
      </c>
      <c r="BO203" s="14"/>
      <c r="BP203" s="32"/>
      <c r="BQ203" s="32"/>
      <c r="BR203" s="32"/>
      <c r="BS203" s="32"/>
      <c r="BT203" s="32" t="s">
        <v>198</v>
      </c>
    </row>
    <row r="204" spans="1:74" ht="12.95" customHeight="1">
      <c r="C204" s="21"/>
      <c r="D204" s="1569" t="s">
        <v>1403</v>
      </c>
      <c r="E204" s="1517"/>
      <c r="F204" s="1517"/>
      <c r="G204" s="1517"/>
      <c r="H204" s="1517"/>
      <c r="I204" s="1517"/>
      <c r="J204" s="1517"/>
      <c r="K204" s="1517"/>
      <c r="L204" s="1517"/>
      <c r="M204" s="1517"/>
      <c r="P204" s="1551">
        <f>M27</f>
        <v>9004540</v>
      </c>
      <c r="Q204" s="1551"/>
      <c r="R204" s="1551"/>
      <c r="S204" s="1551"/>
      <c r="T204" s="1551"/>
      <c r="U204" s="1551"/>
      <c r="V204" s="28"/>
      <c r="W204" s="3" t="s">
        <v>1981</v>
      </c>
      <c r="Z204" s="1570"/>
      <c r="AA204" s="1570"/>
      <c r="AB204" s="1570"/>
      <c r="AC204" s="1570"/>
      <c r="AD204" s="1570"/>
      <c r="AE204" s="1570"/>
      <c r="AF204" s="1570"/>
      <c r="AG204" t="s">
        <v>1404</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71"/>
      <c r="AA205" s="1571"/>
      <c r="AB205" s="1571"/>
      <c r="AC205" s="1571"/>
      <c r="AD205" s="1571"/>
      <c r="AE205" s="1571"/>
      <c r="AF205" s="1571"/>
      <c r="BC205" t="s">
        <v>1087</v>
      </c>
      <c r="BN205" s="23" t="s">
        <v>110</v>
      </c>
      <c r="BT205" s="32" t="s">
        <v>175</v>
      </c>
      <c r="BU205" s="14"/>
    </row>
    <row r="206" spans="1:74" ht="12.95" customHeight="1">
      <c r="A206" s="2" t="s">
        <v>599</v>
      </c>
      <c r="C206" s="2" t="s">
        <v>561</v>
      </c>
      <c r="BC206" s="471" t="s">
        <v>1130</v>
      </c>
      <c r="BN206" s="23" t="s">
        <v>111</v>
      </c>
      <c r="BT206" s="32" t="s">
        <v>200</v>
      </c>
      <c r="BU206" s="14"/>
    </row>
    <row r="207" spans="1:74" ht="12.95" customHeight="1">
      <c r="C207" s="21"/>
      <c r="D207" s="1539" t="s">
        <v>2636</v>
      </c>
      <c r="E207" s="1539"/>
      <c r="F207" s="1539"/>
      <c r="G207" s="1539"/>
      <c r="H207" s="1539"/>
      <c r="I207" s="1539"/>
      <c r="J207" s="1539"/>
      <c r="K207" s="1539"/>
      <c r="L207" s="1539"/>
      <c r="M207" s="1539"/>
      <c r="BC207" s="3" t="s">
        <v>1360</v>
      </c>
      <c r="BN207" s="23" t="s">
        <v>45</v>
      </c>
      <c r="BT207" s="32" t="s">
        <v>201</v>
      </c>
    </row>
    <row r="208" spans="1:74" ht="12.95" customHeight="1">
      <c r="BC208" t="s">
        <v>1131</v>
      </c>
      <c r="BN208" s="23" t="s">
        <v>46</v>
      </c>
      <c r="BT208" s="32" t="s">
        <v>202</v>
      </c>
    </row>
    <row r="209" spans="1:72" ht="12.95" customHeight="1">
      <c r="A209" s="2" t="s">
        <v>600</v>
      </c>
      <c r="C209" s="2" t="s">
        <v>390</v>
      </c>
      <c r="BC209" t="s">
        <v>669</v>
      </c>
      <c r="BN209" s="23" t="s">
        <v>47</v>
      </c>
      <c r="BT209" s="32" t="s">
        <v>203</v>
      </c>
    </row>
    <row r="210" spans="1:72" ht="12.95" customHeight="1">
      <c r="C210" s="21"/>
      <c r="D210" s="1539" t="s">
        <v>1102</v>
      </c>
      <c r="E210" s="1539"/>
      <c r="F210" s="1539"/>
      <c r="G210" s="1539"/>
      <c r="H210" s="1539"/>
      <c r="I210" s="1539"/>
      <c r="J210" s="1539"/>
      <c r="K210" s="1539"/>
      <c r="L210" s="1539"/>
      <c r="M210" s="1539"/>
      <c r="BN210" s="23" t="s">
        <v>48</v>
      </c>
      <c r="BT210" s="32" t="s">
        <v>204</v>
      </c>
    </row>
    <row r="211" spans="1:72" ht="12.95" customHeight="1">
      <c r="C211" s="21"/>
      <c r="D211" t="s">
        <v>1393</v>
      </c>
      <c r="Y211" s="1373"/>
      <c r="Z211" s="1373"/>
      <c r="AB211" s="1566">
        <f>IFERROR(Y211/AG439,"")</f>
        <v>0</v>
      </c>
      <c r="AC211" s="1567"/>
      <c r="BN211" s="23" t="s">
        <v>130</v>
      </c>
      <c r="BT211" s="32" t="s">
        <v>131</v>
      </c>
    </row>
    <row r="212" spans="1:72" ht="12.95" customHeight="1">
      <c r="D212" s="1198" t="s">
        <v>1807</v>
      </c>
      <c r="BC212" t="s">
        <v>309</v>
      </c>
      <c r="BN212" s="23" t="s">
        <v>49</v>
      </c>
      <c r="BT212" s="32" t="s">
        <v>205</v>
      </c>
    </row>
    <row r="213" spans="1:72" ht="12.95" customHeight="1">
      <c r="D213" s="1459" t="s">
        <v>601</v>
      </c>
      <c r="E213" s="1459"/>
      <c r="F213" s="1459"/>
      <c r="G213" s="1459"/>
      <c r="H213" s="1459"/>
      <c r="I213" s="1459"/>
      <c r="J213" s="1459"/>
      <c r="K213" s="1459"/>
      <c r="L213" s="1459"/>
      <c r="M213" s="1459"/>
      <c r="N213" s="1459"/>
      <c r="O213" s="1459"/>
      <c r="P213" s="1459"/>
      <c r="Q213" s="1459"/>
      <c r="R213" s="1459"/>
      <c r="S213" s="1459"/>
      <c r="T213" s="1459"/>
      <c r="U213" s="1459"/>
      <c r="V213" s="1459"/>
      <c r="W213" s="1459"/>
      <c r="X213" s="1459"/>
      <c r="Y213" s="1459"/>
      <c r="Z213" s="1459"/>
      <c r="BC213" t="s">
        <v>536</v>
      </c>
      <c r="BN213" s="23" t="s">
        <v>50</v>
      </c>
      <c r="BT213" s="32" t="s">
        <v>206</v>
      </c>
    </row>
    <row r="214" spans="1:72" ht="12.95" customHeight="1">
      <c r="D214" s="3" t="s">
        <v>1834</v>
      </c>
      <c r="Z214" s="40"/>
      <c r="AB214" s="1457"/>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1368</v>
      </c>
      <c r="D217" s="28"/>
      <c r="BC217" t="s">
        <v>538</v>
      </c>
    </row>
    <row r="218" spans="1:72" ht="12.95" customHeight="1">
      <c r="A218" s="2"/>
      <c r="C218" s="2"/>
      <c r="D218" s="4" t="s">
        <v>1041</v>
      </c>
      <c r="BC218" t="s">
        <v>539</v>
      </c>
    </row>
    <row r="219" spans="1:72" ht="12.95" customHeight="1">
      <c r="A219" s="2"/>
      <c r="C219" s="2"/>
      <c r="D219" s="1539" t="s">
        <v>1131</v>
      </c>
      <c r="E219" s="1539"/>
      <c r="F219" s="1539"/>
      <c r="G219" s="1539"/>
      <c r="H219" s="1539"/>
      <c r="I219" s="1539"/>
      <c r="J219" s="1539"/>
      <c r="K219" s="1539"/>
      <c r="L219" s="1539"/>
      <c r="M219" s="1539"/>
      <c r="N219" s="1539"/>
      <c r="O219" s="1539"/>
      <c r="P219" s="1539"/>
      <c r="Q219" s="1539"/>
      <c r="R219" s="1539"/>
      <c r="S219" s="1539"/>
      <c r="T219" s="1539"/>
      <c r="U219" s="1539"/>
      <c r="V219" s="1539"/>
      <c r="W219" s="1539"/>
      <c r="X219" s="1539"/>
      <c r="Y219" s="1539"/>
      <c r="Z219" s="1539"/>
      <c r="AZ219" s="3"/>
      <c r="BA219" s="3"/>
      <c r="BC219" t="s">
        <v>379</v>
      </c>
    </row>
    <row r="220" spans="1:72" ht="12.95" customHeight="1">
      <c r="A220" s="2"/>
      <c r="B220" s="14"/>
      <c r="C220" s="2"/>
      <c r="BA220" s="3"/>
      <c r="BC220" t="s">
        <v>302</v>
      </c>
    </row>
    <row r="221" spans="1:72" ht="12.95"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55" t="str">
        <f>H16</f>
        <v>Central California Housing Corporation</v>
      </c>
      <c r="N231" s="1555"/>
      <c r="O231" s="1555"/>
      <c r="P231" s="1555"/>
      <c r="Q231" s="1555"/>
      <c r="R231" s="1555"/>
      <c r="S231" s="1555"/>
      <c r="T231" s="1555"/>
      <c r="U231" s="1555"/>
      <c r="V231" s="1555"/>
      <c r="W231" s="1555"/>
      <c r="X231" s="1555"/>
      <c r="Y231" s="1555"/>
      <c r="Z231" s="1555"/>
      <c r="AA231" s="1555"/>
      <c r="AB231" s="1555"/>
      <c r="AC231" s="1555"/>
      <c r="AD231" s="1555"/>
      <c r="AE231" s="1555"/>
      <c r="AF231" s="1555"/>
      <c r="AG231" s="1555"/>
      <c r="AH231" s="1555"/>
      <c r="AI231" s="1555"/>
      <c r="AJ231" s="1555"/>
      <c r="AK231" s="1555"/>
      <c r="BA231" s="3"/>
      <c r="BB231" s="218"/>
      <c r="BG231" s="218"/>
      <c r="BQ231" s="34"/>
    </row>
    <row r="232" spans="1:69" ht="12.95" customHeight="1">
      <c r="D232" s="4" t="s">
        <v>86</v>
      </c>
      <c r="E232" s="4"/>
      <c r="F232" s="4"/>
      <c r="G232" s="4"/>
      <c r="H232" s="4"/>
      <c r="I232" s="4"/>
      <c r="J232" s="4"/>
      <c r="K232" s="4"/>
      <c r="M232" s="1541" t="s">
        <v>2637</v>
      </c>
      <c r="N232" s="1539"/>
      <c r="O232" s="1539"/>
      <c r="P232" s="1539"/>
      <c r="Q232" s="1539"/>
      <c r="R232" s="1539"/>
      <c r="S232" s="1539"/>
      <c r="T232" s="1539"/>
      <c r="U232" s="1539"/>
      <c r="V232" s="1539"/>
      <c r="W232" s="1539"/>
      <c r="X232" s="1539"/>
      <c r="Y232" s="1539"/>
      <c r="Z232" s="1539"/>
      <c r="AA232" s="1539"/>
      <c r="AB232" s="1539"/>
      <c r="AC232" s="1539"/>
      <c r="AD232" s="1539"/>
      <c r="AE232" s="1539"/>
      <c r="AZ232" s="4"/>
      <c r="BA232" s="3"/>
      <c r="BB232" s="219" t="s">
        <v>548</v>
      </c>
      <c r="BG232" s="259">
        <f>IF(AND(AND($M$248="nonprofit",$M$256="nonprofit",$M$264="for profit")),2,0)</f>
        <v>0</v>
      </c>
      <c r="BQ232" s="34"/>
    </row>
    <row r="233" spans="1:69" ht="12.95" customHeight="1">
      <c r="D233" s="4" t="s">
        <v>590</v>
      </c>
      <c r="E233" s="4"/>
      <c r="M233" s="1541" t="s">
        <v>2638</v>
      </c>
      <c r="N233" s="1539"/>
      <c r="O233" s="1539"/>
      <c r="P233" s="1539"/>
      <c r="Q233" s="1539"/>
      <c r="R233" s="1539"/>
      <c r="S233" s="1539"/>
      <c r="T233" s="1539"/>
      <c r="V233" s="33" t="s">
        <v>87</v>
      </c>
      <c r="W233" s="1464" t="s">
        <v>2639</v>
      </c>
      <c r="X233" s="1465"/>
      <c r="Y233" s="4" t="s">
        <v>593</v>
      </c>
      <c r="AC233" s="1539">
        <v>93612</v>
      </c>
      <c r="AD233" s="1539"/>
      <c r="AE233" s="1539"/>
      <c r="BB233" s="219" t="s">
        <v>548</v>
      </c>
      <c r="BG233" s="259">
        <f>IF(AND(AND($M$248="nonprofit",$M$256="for profit",$M$264="nonprofit")),2,0)</f>
        <v>0</v>
      </c>
    </row>
    <row r="234" spans="1:69" ht="12.95" customHeight="1">
      <c r="D234" s="4" t="s">
        <v>88</v>
      </c>
      <c r="E234" s="4"/>
      <c r="F234" s="4"/>
      <c r="G234" s="4"/>
      <c r="H234" s="4"/>
      <c r="I234" s="4"/>
      <c r="J234" s="4"/>
      <c r="K234" s="19"/>
      <c r="M234" s="1541" t="s">
        <v>2640</v>
      </c>
      <c r="N234" s="1539"/>
      <c r="O234" s="1539"/>
      <c r="P234" s="1539"/>
      <c r="Q234" s="1539"/>
      <c r="R234" s="1539"/>
      <c r="S234" s="1539"/>
      <c r="T234" s="1539"/>
      <c r="U234" s="1539"/>
      <c r="V234" s="1539"/>
      <c r="W234" s="1539"/>
      <c r="X234" s="1539"/>
      <c r="Y234" s="1539"/>
      <c r="Z234" s="1539"/>
      <c r="AA234" s="1539"/>
      <c r="AB234" s="1539"/>
      <c r="AC234" s="1539"/>
      <c r="AD234" s="1539"/>
      <c r="AE234" s="1539"/>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6">
        <v>5592923385</v>
      </c>
      <c r="N235" s="1436"/>
      <c r="O235" s="1436"/>
      <c r="P235" s="1436"/>
      <c r="Q235" s="1436"/>
      <c r="R235" s="1436"/>
      <c r="S235" s="4" t="s">
        <v>208</v>
      </c>
      <c r="T235" s="4"/>
      <c r="U235" s="1465"/>
      <c r="V235" s="1465"/>
      <c r="W235" s="1465"/>
      <c r="X235" s="4" t="s">
        <v>90</v>
      </c>
      <c r="Z235" s="1436"/>
      <c r="AA235" s="1436"/>
      <c r="AB235" s="1436"/>
      <c r="AC235" s="1436"/>
      <c r="AD235" s="1436"/>
      <c r="AE235" s="1436"/>
      <c r="BB235" s="219"/>
      <c r="BG235" s="218"/>
    </row>
    <row r="236" spans="1:69" ht="12.95" customHeight="1">
      <c r="D236" s="4" t="s">
        <v>91</v>
      </c>
      <c r="E236" s="4"/>
      <c r="F236" s="4"/>
      <c r="M236" s="1468" t="s">
        <v>2641</v>
      </c>
      <c r="N236" s="1469"/>
      <c r="O236" s="1469"/>
      <c r="P236" s="1469"/>
      <c r="Q236" s="1469"/>
      <c r="R236" s="1469"/>
      <c r="S236" s="1469"/>
      <c r="T236" s="1469"/>
      <c r="U236" s="1469"/>
      <c r="V236" s="1469"/>
      <c r="W236" s="1469"/>
      <c r="X236" s="1469"/>
      <c r="Y236" s="1469"/>
      <c r="Z236" s="1469"/>
      <c r="AA236" s="1469"/>
      <c r="AB236" s="1469"/>
      <c r="AC236" s="1469"/>
      <c r="AD236" s="1469"/>
      <c r="AE236" s="1469"/>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536</v>
      </c>
      <c r="N237" s="1366"/>
      <c r="O237" s="1366"/>
      <c r="P237" s="1366"/>
      <c r="Q237" s="1366"/>
      <c r="R237" s="1366"/>
      <c r="S237" s="1366"/>
      <c r="T237" s="1366"/>
      <c r="U237" s="218" t="s">
        <v>940</v>
      </c>
      <c r="V237" s="218"/>
      <c r="W237" s="218"/>
      <c r="X237" s="218"/>
      <c r="Y237" s="218"/>
      <c r="Z237" s="218"/>
      <c r="AA237" s="1537"/>
      <c r="AB237" s="1537"/>
      <c r="AC237" s="1537"/>
      <c r="AD237" s="1537"/>
      <c r="AE237" s="1537"/>
      <c r="AF237" s="1537"/>
      <c r="AG237" s="1537"/>
      <c r="AH237" s="1537"/>
      <c r="AI237" s="1537"/>
      <c r="AJ237" s="1537"/>
      <c r="AK237" s="1537"/>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1326</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2" t="s">
        <v>2642</v>
      </c>
      <c r="N242" s="1543"/>
      <c r="O242" s="1543"/>
      <c r="P242" s="1543"/>
      <c r="Q242" s="1543"/>
      <c r="R242" s="1543"/>
      <c r="S242" s="1543"/>
      <c r="T242" s="1543"/>
      <c r="U242" s="1543"/>
      <c r="V242" s="1543"/>
      <c r="W242" s="1543"/>
      <c r="X242" s="1543"/>
      <c r="Y242" s="1543"/>
      <c r="Z242" s="1543"/>
      <c r="AA242" s="1543"/>
      <c r="AB242" s="1543"/>
      <c r="AC242" s="1543"/>
      <c r="AD242" s="1543"/>
      <c r="AE242" s="1543"/>
      <c r="AF242" s="1543" t="s">
        <v>2644</v>
      </c>
      <c r="AG242" s="1543"/>
      <c r="AH242" s="1543"/>
      <c r="AI242" s="1543"/>
      <c r="AJ242" s="1543"/>
      <c r="AK242" s="1543"/>
      <c r="BO242" s="34"/>
      <c r="BP242" s="4"/>
      <c r="BQ242" s="4"/>
      <c r="BR242" s="4"/>
      <c r="BS242" s="4"/>
    </row>
    <row r="243" spans="1:71" ht="12.95" customHeight="1">
      <c r="A243" s="19"/>
      <c r="B243" s="4"/>
      <c r="C243" s="4"/>
      <c r="D243" s="4" t="s">
        <v>86</v>
      </c>
      <c r="E243" s="4"/>
      <c r="F243" s="4"/>
      <c r="G243" s="4"/>
      <c r="H243" s="4"/>
      <c r="I243" s="4"/>
      <c r="J243" s="4"/>
      <c r="K243" s="4"/>
      <c r="L243" s="4"/>
      <c r="M243" s="1541" t="s">
        <v>2637</v>
      </c>
      <c r="N243" s="1539"/>
      <c r="O243" s="1539"/>
      <c r="P243" s="1539"/>
      <c r="Q243" s="1539"/>
      <c r="R243" s="1539"/>
      <c r="S243" s="1539"/>
      <c r="T243" s="1539"/>
      <c r="U243" s="1539"/>
      <c r="V243" s="1539"/>
      <c r="W243" s="1539"/>
      <c r="X243" s="1539"/>
      <c r="Y243" s="1539"/>
      <c r="Z243" s="1539"/>
      <c r="AA243" s="1539"/>
      <c r="AB243" s="1539"/>
      <c r="AC243" s="1539"/>
      <c r="AD243" s="1539"/>
      <c r="AE243" s="1539"/>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41" t="s">
        <v>2638</v>
      </c>
      <c r="N244" s="1539"/>
      <c r="O244" s="1539"/>
      <c r="P244" s="1539"/>
      <c r="Q244" s="1539"/>
      <c r="R244" s="1539"/>
      <c r="S244" s="1539"/>
      <c r="T244" s="1539"/>
      <c r="V244" s="33" t="s">
        <v>87</v>
      </c>
      <c r="W244" s="1464" t="s">
        <v>2639</v>
      </c>
      <c r="X244" s="1465"/>
      <c r="Y244" s="4" t="s">
        <v>593</v>
      </c>
      <c r="AC244" s="1539">
        <v>93612</v>
      </c>
      <c r="AD244" s="1539"/>
      <c r="AE244" s="1539"/>
      <c r="AF244" s="3" t="s">
        <v>1323</v>
      </c>
      <c r="BB244" t="s">
        <v>309</v>
      </c>
      <c r="BG244">
        <v>1</v>
      </c>
      <c r="BH244" t="s">
        <v>544</v>
      </c>
    </row>
    <row r="245" spans="1:71" ht="12.95" customHeight="1">
      <c r="A245" s="19"/>
      <c r="B245" s="4"/>
      <c r="C245" s="4"/>
      <c r="D245" s="4" t="s">
        <v>88</v>
      </c>
      <c r="E245" s="4"/>
      <c r="F245" s="4"/>
      <c r="G245" s="4"/>
      <c r="H245" s="4"/>
      <c r="I245" s="4"/>
      <c r="J245" s="4"/>
      <c r="K245" s="4"/>
      <c r="L245" s="19"/>
      <c r="M245" s="1541" t="s">
        <v>2640</v>
      </c>
      <c r="N245" s="1539"/>
      <c r="O245" s="1539"/>
      <c r="P245" s="1539"/>
      <c r="Q245" s="1539"/>
      <c r="R245" s="1539"/>
      <c r="S245" s="1539"/>
      <c r="T245" s="1539"/>
      <c r="U245" s="1539"/>
      <c r="V245" s="1539"/>
      <c r="W245" s="1539"/>
      <c r="X245" s="1539"/>
      <c r="Y245" s="1539"/>
      <c r="Z245" s="1539"/>
      <c r="AA245" s="1539"/>
      <c r="AB245" s="1539"/>
      <c r="AC245" s="1539"/>
      <c r="AD245" s="1539"/>
      <c r="AE245" s="1539"/>
      <c r="AH245" s="1433">
        <v>0.05</v>
      </c>
      <c r="AI245" s="1433"/>
      <c r="AJ245" s="1433"/>
      <c r="AK245" s="143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6">
        <v>5592923385</v>
      </c>
      <c r="N246" s="1436"/>
      <c r="O246" s="1436"/>
      <c r="P246" s="1436"/>
      <c r="Q246" s="1436"/>
      <c r="R246" s="1436"/>
      <c r="S246" s="4" t="s">
        <v>208</v>
      </c>
      <c r="T246" s="4"/>
      <c r="U246" s="1465"/>
      <c r="V246" s="1465"/>
      <c r="W246" s="1465"/>
      <c r="X246" s="4" t="s">
        <v>90</v>
      </c>
      <c r="Z246" s="1436"/>
      <c r="AA246" s="1436"/>
      <c r="AB246" s="1436"/>
      <c r="AC246" s="1436"/>
      <c r="AD246" s="1436"/>
      <c r="AE246" s="1436"/>
      <c r="BB246" s="4" t="s">
        <v>174</v>
      </c>
      <c r="BG246">
        <v>3</v>
      </c>
      <c r="BH246" t="s">
        <v>546</v>
      </c>
      <c r="BN246" s="34"/>
    </row>
    <row r="247" spans="1:71" ht="12.95" customHeight="1">
      <c r="A247" s="19"/>
      <c r="B247" s="4"/>
      <c r="C247" s="4"/>
      <c r="D247" s="4" t="s">
        <v>91</v>
      </c>
      <c r="E247" s="4"/>
      <c r="F247" s="4"/>
      <c r="M247" s="1468" t="s">
        <v>2641</v>
      </c>
      <c r="N247" s="1469"/>
      <c r="O247" s="1469"/>
      <c r="P247" s="1469"/>
      <c r="Q247" s="1469"/>
      <c r="R247" s="1469"/>
      <c r="S247" s="1469"/>
      <c r="T247" s="1469"/>
      <c r="U247" s="1469"/>
      <c r="V247" s="1469"/>
      <c r="W247" s="1469"/>
      <c r="X247" s="1469"/>
      <c r="Y247" s="1469"/>
      <c r="Z247" s="1469"/>
      <c r="AA247" s="1469"/>
      <c r="AB247" s="1469"/>
      <c r="AC247" s="1469"/>
      <c r="AD247" s="1469"/>
      <c r="AE247" s="1469"/>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36" t="s">
        <v>2625</v>
      </c>
      <c r="AB248" s="1537"/>
      <c r="AC248" s="1537"/>
      <c r="AD248" s="1537"/>
      <c r="AE248" s="1537"/>
      <c r="AF248" s="1537"/>
      <c r="AG248" s="1537"/>
      <c r="AH248" s="1537"/>
      <c r="AI248" s="1537"/>
      <c r="AJ248" s="1537"/>
      <c r="AK248" s="153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42" t="s">
        <v>2643</v>
      </c>
      <c r="N250" s="1543"/>
      <c r="O250" s="1543"/>
      <c r="P250" s="1543"/>
      <c r="Q250" s="1543"/>
      <c r="R250" s="1543"/>
      <c r="S250" s="1543"/>
      <c r="T250" s="1543"/>
      <c r="U250" s="1543"/>
      <c r="V250" s="1543"/>
      <c r="W250" s="1543"/>
      <c r="X250" s="1543"/>
      <c r="Y250" s="1543"/>
      <c r="Z250" s="1543"/>
      <c r="AA250" s="1543"/>
      <c r="AB250" s="1543"/>
      <c r="AC250" s="1543"/>
      <c r="AD250" s="1543"/>
      <c r="AE250" s="1543"/>
      <c r="AF250" s="1543" t="s">
        <v>2645</v>
      </c>
      <c r="AG250" s="1543"/>
      <c r="AH250" s="1543"/>
      <c r="AI250" s="1543"/>
      <c r="AJ250" s="1543"/>
      <c r="AK250" s="1543"/>
      <c r="BN250" s="34"/>
    </row>
    <row r="251" spans="1:71" ht="12.95" customHeight="1">
      <c r="A251" s="19"/>
      <c r="B251" s="4"/>
      <c r="C251" s="4"/>
      <c r="D251" s="4" t="s">
        <v>86</v>
      </c>
      <c r="E251" s="4"/>
      <c r="F251" s="4"/>
      <c r="G251" s="4"/>
      <c r="H251" s="4"/>
      <c r="I251" s="4"/>
      <c r="J251" s="4"/>
      <c r="K251" s="4"/>
      <c r="L251" s="4"/>
      <c r="M251" s="1541" t="s">
        <v>2646</v>
      </c>
      <c r="N251" s="1539"/>
      <c r="O251" s="1539"/>
      <c r="P251" s="1539"/>
      <c r="Q251" s="1539"/>
      <c r="R251" s="1539"/>
      <c r="S251" s="1539"/>
      <c r="T251" s="1539"/>
      <c r="U251" s="1539"/>
      <c r="V251" s="1539"/>
      <c r="W251" s="1539"/>
      <c r="X251" s="1539"/>
      <c r="Y251" s="1539"/>
      <c r="Z251" s="1539"/>
      <c r="AA251" s="1539"/>
      <c r="AB251" s="1539"/>
      <c r="AC251" s="1539"/>
      <c r="AD251" s="1539"/>
      <c r="AE251" s="1539"/>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41" t="s">
        <v>2630</v>
      </c>
      <c r="N252" s="1539"/>
      <c r="O252" s="1539"/>
      <c r="P252" s="1539"/>
      <c r="Q252" s="1539"/>
      <c r="R252" s="1539"/>
      <c r="S252" s="1539"/>
      <c r="T252" s="1539"/>
      <c r="V252" s="33" t="s">
        <v>87</v>
      </c>
      <c r="W252" s="1464" t="s">
        <v>2639</v>
      </c>
      <c r="X252" s="1465"/>
      <c r="Y252" s="4" t="s">
        <v>593</v>
      </c>
      <c r="AC252" s="1539">
        <v>95928</v>
      </c>
      <c r="AD252" s="1539"/>
      <c r="AE252" s="1539"/>
      <c r="AF252" s="3" t="s">
        <v>1323</v>
      </c>
      <c r="BN252" s="34"/>
    </row>
    <row r="253" spans="1:71" ht="12.95" customHeight="1">
      <c r="A253" s="19"/>
      <c r="B253" s="4"/>
      <c r="C253" s="4"/>
      <c r="D253" s="4" t="s">
        <v>88</v>
      </c>
      <c r="E253" s="4"/>
      <c r="F253" s="4"/>
      <c r="G253" s="4"/>
      <c r="H253" s="4"/>
      <c r="I253" s="4"/>
      <c r="J253" s="4"/>
      <c r="K253" s="4"/>
      <c r="L253" s="19"/>
      <c r="M253" s="1541" t="s">
        <v>2647</v>
      </c>
      <c r="N253" s="1539"/>
      <c r="O253" s="1539"/>
      <c r="P253" s="1539"/>
      <c r="Q253" s="1539"/>
      <c r="R253" s="1539"/>
      <c r="S253" s="1539"/>
      <c r="T253" s="1539"/>
      <c r="U253" s="1539"/>
      <c r="V253" s="1539"/>
      <c r="W253" s="1539"/>
      <c r="X253" s="1539"/>
      <c r="Y253" s="1539"/>
      <c r="Z253" s="1539"/>
      <c r="AA253" s="1539"/>
      <c r="AB253" s="1539"/>
      <c r="AC253" s="1539"/>
      <c r="AD253" s="1539"/>
      <c r="AE253" s="1539"/>
      <c r="AH253" s="1433">
        <v>0.05</v>
      </c>
      <c r="AI253" s="1433"/>
      <c r="AJ253" s="1433"/>
      <c r="AK253" s="143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6">
        <v>5308954474</v>
      </c>
      <c r="N254" s="1436"/>
      <c r="O254" s="1436"/>
      <c r="P254" s="1436"/>
      <c r="Q254" s="1436"/>
      <c r="R254" s="1436"/>
      <c r="S254" s="4" t="s">
        <v>208</v>
      </c>
      <c r="T254" s="4"/>
      <c r="U254" s="1465"/>
      <c r="V254" s="1465"/>
      <c r="W254" s="1465"/>
      <c r="X254" s="4" t="s">
        <v>90</v>
      </c>
      <c r="Z254" s="1436"/>
      <c r="AA254" s="1436"/>
      <c r="AB254" s="1436"/>
      <c r="AC254" s="1436"/>
      <c r="AD254" s="1436"/>
      <c r="AE254" s="1436"/>
    </row>
    <row r="255" spans="1:71" ht="12.95" customHeight="1">
      <c r="A255" s="19"/>
      <c r="B255" s="4"/>
      <c r="C255" s="4"/>
      <c r="D255" s="4" t="s">
        <v>91</v>
      </c>
      <c r="E255" s="4"/>
      <c r="F255" s="4"/>
      <c r="M255" s="1468" t="s">
        <v>2648</v>
      </c>
      <c r="N255" s="1469"/>
      <c r="O255" s="1469"/>
      <c r="P255" s="1469"/>
      <c r="Q255" s="1469"/>
      <c r="R255" s="1469"/>
      <c r="S255" s="1469"/>
      <c r="T255" s="1469"/>
      <c r="U255" s="1469"/>
      <c r="V255" s="1469"/>
      <c r="W255" s="1469"/>
      <c r="X255" s="1469"/>
      <c r="Y255" s="1469"/>
      <c r="Z255" s="1469"/>
      <c r="AA255" s="1469"/>
      <c r="AB255" s="1469"/>
      <c r="AC255" s="1469"/>
      <c r="AD255" s="1469"/>
      <c r="AE255" s="1469"/>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6" t="s">
        <v>2649</v>
      </c>
      <c r="AB256" s="1537"/>
      <c r="AC256" s="1537"/>
      <c r="AD256" s="1537"/>
      <c r="AE256" s="1537"/>
      <c r="AF256" s="1537"/>
      <c r="AG256" s="1537"/>
      <c r="AH256" s="1537"/>
      <c r="AI256" s="1537"/>
      <c r="AJ256" s="1537"/>
      <c r="AK256" s="153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43"/>
      <c r="N258" s="1543"/>
      <c r="O258" s="1543"/>
      <c r="P258" s="1543"/>
      <c r="Q258" s="1543"/>
      <c r="R258" s="1543"/>
      <c r="S258" s="1543"/>
      <c r="T258" s="1543"/>
      <c r="U258" s="1543"/>
      <c r="V258" s="1543"/>
      <c r="W258" s="1543"/>
      <c r="X258" s="1543"/>
      <c r="Y258" s="1543"/>
      <c r="Z258" s="1543"/>
      <c r="AA258" s="1543"/>
      <c r="AB258" s="1543"/>
      <c r="AC258" s="1543"/>
      <c r="AD258" s="1543"/>
      <c r="AE258" s="1543"/>
      <c r="AF258" s="1543" t="s">
        <v>309</v>
      </c>
      <c r="AG258" s="1543"/>
      <c r="AH258" s="1543"/>
      <c r="AI258" s="1543"/>
      <c r="AJ258" s="1543"/>
      <c r="AK258" s="1543"/>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9"/>
      <c r="N260" s="1539"/>
      <c r="O260" s="1539"/>
      <c r="P260" s="1539"/>
      <c r="Q260" s="1539"/>
      <c r="R260" s="1539"/>
      <c r="S260" s="1539"/>
      <c r="T260" s="1539"/>
      <c r="V260" s="33" t="s">
        <v>87</v>
      </c>
      <c r="W260" s="1465"/>
      <c r="X260" s="1465"/>
      <c r="Y260" s="4" t="s">
        <v>593</v>
      </c>
      <c r="AC260" s="1539"/>
      <c r="AD260" s="1539"/>
      <c r="AE260" s="1539"/>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9"/>
      <c r="N261" s="1539"/>
      <c r="O261" s="1539"/>
      <c r="P261" s="1539"/>
      <c r="Q261" s="1539"/>
      <c r="R261" s="1539"/>
      <c r="S261" s="1539"/>
      <c r="T261" s="1539"/>
      <c r="U261" s="1539"/>
      <c r="V261" s="1539"/>
      <c r="W261" s="1539"/>
      <c r="X261" s="1539"/>
      <c r="Y261" s="1539"/>
      <c r="Z261" s="1539"/>
      <c r="AA261" s="1539"/>
      <c r="AB261" s="1539"/>
      <c r="AC261" s="1539"/>
      <c r="AD261" s="1539"/>
      <c r="AE261" s="1539"/>
      <c r="AH261" s="1433"/>
      <c r="AI261" s="1433"/>
      <c r="AJ261" s="1433"/>
      <c r="AK261" s="143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c r="N262" s="1436"/>
      <c r="O262" s="1436"/>
      <c r="P262" s="1436"/>
      <c r="Q262" s="1436"/>
      <c r="R262" s="1436"/>
      <c r="S262" s="4" t="s">
        <v>208</v>
      </c>
      <c r="T262" s="4"/>
      <c r="U262" s="1465"/>
      <c r="V262" s="1465"/>
      <c r="W262" s="1465"/>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9"/>
      <c r="N263" s="1469"/>
      <c r="O263" s="1469"/>
      <c r="P263" s="1469"/>
      <c r="Q263" s="1469"/>
      <c r="R263" s="1469"/>
      <c r="S263" s="1469"/>
      <c r="T263" s="1469"/>
      <c r="U263" s="1469"/>
      <c r="V263" s="1469"/>
      <c r="W263" s="1469"/>
      <c r="X263" s="1469"/>
      <c r="Y263" s="1469"/>
      <c r="Z263" s="1469"/>
      <c r="AA263" s="1548"/>
      <c r="AB263" s="1548"/>
      <c r="AC263" s="1548"/>
      <c r="AD263" s="1548"/>
      <c r="AE263" s="154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72"/>
      <c r="AB264" s="1572"/>
      <c r="AC264" s="1572"/>
      <c r="AD264" s="1572"/>
      <c r="AE264" s="1572"/>
      <c r="AF264" s="1572"/>
      <c r="AG264" s="1572"/>
      <c r="AH264" s="1572"/>
      <c r="AI264" s="1572"/>
      <c r="AJ264" s="1572"/>
      <c r="AK264" s="1572"/>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7" t="str">
        <f>BO245</f>
        <v>Joint Venture</v>
      </c>
      <c r="U266" s="1547"/>
      <c r="V266" s="1547"/>
      <c r="W266" s="1547"/>
      <c r="X266" s="1547"/>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9" t="s">
        <v>174</v>
      </c>
      <c r="E269" s="1539"/>
      <c r="F269" s="1539"/>
      <c r="G269" s="1539"/>
      <c r="H269" s="1539"/>
      <c r="J269" t="s">
        <v>281</v>
      </c>
      <c r="X269" s="1545">
        <v>45170</v>
      </c>
      <c r="Y269" s="1545"/>
      <c r="Z269" s="1545"/>
      <c r="AA269" s="1545"/>
      <c r="AB269" s="1545"/>
      <c r="AC269" s="1545"/>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2" t="s">
        <v>2625</v>
      </c>
      <c r="M273" s="1543"/>
      <c r="N273" s="1543"/>
      <c r="O273" s="1543"/>
      <c r="P273" s="1543"/>
      <c r="Q273" s="1543"/>
      <c r="R273" s="1543"/>
      <c r="S273" s="1543"/>
      <c r="T273" s="1543"/>
      <c r="U273" s="1543"/>
      <c r="V273" s="1543"/>
      <c r="W273" s="1543"/>
      <c r="X273" s="1543"/>
      <c r="Y273" s="1543"/>
      <c r="Z273" s="1543"/>
      <c r="AA273" s="1543"/>
      <c r="AB273" s="1543"/>
      <c r="AC273" s="1543"/>
      <c r="AD273" s="1543"/>
      <c r="AE273" s="1543"/>
      <c r="AF273" s="1543"/>
      <c r="AG273" s="1543"/>
      <c r="AH273" s="1543"/>
      <c r="AI273" s="1543"/>
      <c r="AJ273" s="154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41" t="s">
        <v>2637</v>
      </c>
      <c r="M274" s="1539"/>
      <c r="N274" s="1539"/>
      <c r="O274" s="1539"/>
      <c r="P274" s="1539"/>
      <c r="Q274" s="1539"/>
      <c r="R274" s="1539"/>
      <c r="S274" s="1539"/>
      <c r="T274" s="1539"/>
      <c r="U274" s="1539"/>
      <c r="V274" s="1539"/>
      <c r="W274" s="1539"/>
      <c r="X274" s="1539"/>
      <c r="Y274" s="1539"/>
      <c r="Z274" s="1539"/>
      <c r="AA274" s="1539"/>
      <c r="AB274" s="1539"/>
      <c r="AC274" s="1539"/>
      <c r="AD274" s="1539"/>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41" t="s">
        <v>2638</v>
      </c>
      <c r="M275" s="1539"/>
      <c r="N275" s="1539"/>
      <c r="O275" s="1539"/>
      <c r="P275" s="1539"/>
      <c r="Q275" s="1539"/>
      <c r="R275" s="1539"/>
      <c r="S275" s="1539"/>
      <c r="U275" s="33" t="s">
        <v>87</v>
      </c>
      <c r="V275" s="1464" t="s">
        <v>2639</v>
      </c>
      <c r="W275" s="1465"/>
      <c r="X275" s="4" t="s">
        <v>593</v>
      </c>
      <c r="AB275" s="1539">
        <v>93612</v>
      </c>
      <c r="AC275" s="1539"/>
      <c r="AD275" s="1539"/>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41" t="s">
        <v>2640</v>
      </c>
      <c r="M276" s="1539"/>
      <c r="N276" s="1539"/>
      <c r="O276" s="1539"/>
      <c r="P276" s="1539"/>
      <c r="Q276" s="1539"/>
      <c r="R276" s="1539"/>
      <c r="S276" s="1539"/>
      <c r="T276" s="1539"/>
      <c r="U276" s="1539"/>
      <c r="V276" s="1539"/>
      <c r="W276" s="1539"/>
      <c r="X276" s="1539"/>
      <c r="Y276" s="1539"/>
      <c r="Z276" s="1539"/>
      <c r="AA276" s="1539"/>
      <c r="AB276" s="1539"/>
      <c r="AC276" s="1539"/>
      <c r="AD276" s="1539"/>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6">
        <v>5592923385</v>
      </c>
      <c r="M277" s="1436"/>
      <c r="N277" s="1436"/>
      <c r="O277" s="1436"/>
      <c r="P277" s="1436"/>
      <c r="Q277" s="1436"/>
      <c r="R277" s="4" t="s">
        <v>208</v>
      </c>
      <c r="S277" s="4"/>
      <c r="T277" s="1465"/>
      <c r="U277" s="1465"/>
      <c r="V277" s="1465"/>
      <c r="W277" s="4" t="s">
        <v>90</v>
      </c>
      <c r="Y277" s="1436"/>
      <c r="Z277" s="1436"/>
      <c r="AA277" s="1436"/>
      <c r="AB277" s="1436"/>
      <c r="AC277" s="1436"/>
      <c r="AD277" s="1436"/>
      <c r="BN277" s="34"/>
    </row>
    <row r="278" spans="1:66" ht="12.95" customHeight="1">
      <c r="D278" s="4" t="s">
        <v>91</v>
      </c>
      <c r="E278" s="4"/>
      <c r="F278" s="4"/>
      <c r="L278" s="1468" t="s">
        <v>2641</v>
      </c>
      <c r="M278" s="1469"/>
      <c r="N278" s="1469"/>
      <c r="O278" s="1469"/>
      <c r="P278" s="1469"/>
      <c r="Q278" s="1469"/>
      <c r="R278" s="1469"/>
      <c r="S278" s="1469"/>
      <c r="T278" s="1469"/>
      <c r="U278" s="1469"/>
      <c r="V278" s="1469"/>
      <c r="W278" s="1469"/>
      <c r="X278" s="1469"/>
      <c r="Y278" s="1469"/>
      <c r="Z278" s="1469"/>
      <c r="AA278" s="1469"/>
      <c r="AB278" s="1469"/>
      <c r="AC278" s="1469"/>
      <c r="AD278" s="1469"/>
      <c r="AF278" s="4"/>
      <c r="AG278" s="4"/>
      <c r="AH278" s="4"/>
      <c r="AI278" s="4"/>
      <c r="AJ278" s="4"/>
      <c r="BN278" s="34"/>
    </row>
    <row r="279" spans="1:66" ht="12.95" customHeight="1">
      <c r="D279" s="3" t="s">
        <v>633</v>
      </c>
      <c r="E279" s="3"/>
      <c r="F279" s="3"/>
      <c r="G279" s="3"/>
      <c r="H279" s="3"/>
      <c r="I279" s="3"/>
      <c r="L279" s="1464" t="s">
        <v>2650</v>
      </c>
      <c r="M279" s="1464"/>
      <c r="N279" s="1464"/>
      <c r="O279" s="1464"/>
      <c r="P279" s="1464"/>
      <c r="Q279" s="1464"/>
      <c r="R279" s="1464"/>
      <c r="S279" s="1464"/>
      <c r="T279" s="1464"/>
      <c r="U279" s="1464"/>
      <c r="V279" s="1464"/>
      <c r="W279" s="1464"/>
      <c r="X279" s="1464"/>
      <c r="Y279" s="1464"/>
      <c r="Z279" s="1464"/>
      <c r="AA279" s="1464"/>
      <c r="AB279" s="1464"/>
      <c r="AC279" s="1464"/>
      <c r="AD279" s="1464"/>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2661</v>
      </c>
      <c r="I286" s="1394"/>
      <c r="J286" s="1394"/>
      <c r="K286" s="1394"/>
      <c r="L286" s="1394"/>
      <c r="M286" s="1394"/>
      <c r="N286" s="1394"/>
      <c r="O286" s="1394"/>
      <c r="P286" s="1394"/>
      <c r="Q286" s="1394"/>
      <c r="R286" s="1394"/>
      <c r="T286" s="3" t="s">
        <v>577</v>
      </c>
      <c r="V286" s="3"/>
      <c r="W286" s="3"/>
      <c r="X286" s="3"/>
      <c r="Y286" s="3"/>
      <c r="AA286" s="1394" t="s">
        <v>2663</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2637</v>
      </c>
      <c r="I287" s="1366"/>
      <c r="J287" s="1366"/>
      <c r="K287" s="1366"/>
      <c r="L287" s="1366"/>
      <c r="M287" s="1366"/>
      <c r="N287" s="1366"/>
      <c r="O287" s="1366"/>
      <c r="P287" s="1366"/>
      <c r="Q287" s="1366"/>
      <c r="R287" s="1366"/>
      <c r="T287" s="3" t="s">
        <v>481</v>
      </c>
      <c r="V287" s="3"/>
      <c r="W287" s="3"/>
      <c r="X287" s="3"/>
      <c r="Y287" s="3"/>
      <c r="AA287" s="1366" t="s">
        <v>2664</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2662</v>
      </c>
      <c r="I288" s="1366"/>
      <c r="J288" s="1366"/>
      <c r="K288" s="1366"/>
      <c r="L288" s="1366"/>
      <c r="M288" s="1366"/>
      <c r="N288" s="1366"/>
      <c r="O288" s="1366"/>
      <c r="P288" s="1366"/>
      <c r="Q288" s="1366"/>
      <c r="R288" s="1366"/>
      <c r="T288" s="3" t="s">
        <v>76</v>
      </c>
      <c r="V288" s="3"/>
      <c r="W288" s="3"/>
      <c r="X288" s="3"/>
      <c r="Y288" s="3"/>
      <c r="AA288" s="1366" t="s">
        <v>2665</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2640</v>
      </c>
      <c r="I289" s="1366"/>
      <c r="J289" s="1366"/>
      <c r="K289" s="1366"/>
      <c r="L289" s="1366"/>
      <c r="M289" s="1366"/>
      <c r="N289" s="1366"/>
      <c r="O289" s="1366"/>
      <c r="P289" s="1366"/>
      <c r="Q289" s="1366"/>
      <c r="R289" s="1366"/>
      <c r="T289" s="3" t="s">
        <v>88</v>
      </c>
      <c r="V289" s="3"/>
      <c r="W289" s="3"/>
      <c r="X289" s="3"/>
      <c r="Y289" s="3"/>
      <c r="AA289" s="1366" t="s">
        <v>2666</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40">
        <v>5592923385</v>
      </c>
      <c r="I290" s="1540"/>
      <c r="J290" s="1540"/>
      <c r="K290" s="1540"/>
      <c r="L290" s="1540"/>
      <c r="M290" s="1540"/>
      <c r="N290" s="3" t="s">
        <v>208</v>
      </c>
      <c r="O290" s="3"/>
      <c r="P290" s="1541"/>
      <c r="Q290" s="1541"/>
      <c r="R290" s="1541"/>
      <c r="S290" s="3"/>
      <c r="T290" s="3" t="s">
        <v>89</v>
      </c>
      <c r="V290" s="3"/>
      <c r="W290" s="3"/>
      <c r="X290" s="3"/>
      <c r="Y290" s="3"/>
      <c r="AA290" s="1540">
        <v>9164431033</v>
      </c>
      <c r="AB290" s="1540"/>
      <c r="AC290" s="1540"/>
      <c r="AD290" s="1540"/>
      <c r="AE290" s="1540"/>
      <c r="AF290" s="1540"/>
      <c r="AG290" s="3" t="s">
        <v>208</v>
      </c>
      <c r="AH290" s="3"/>
      <c r="AI290" s="1541"/>
      <c r="AJ290" s="1541"/>
      <c r="AK290" s="1541"/>
      <c r="BN290" s="34"/>
    </row>
    <row r="291" spans="2:66" ht="12.95" customHeight="1">
      <c r="B291" s="3" t="s">
        <v>90</v>
      </c>
      <c r="C291" s="3"/>
      <c r="D291" s="3"/>
      <c r="E291" s="3"/>
      <c r="F291" s="3"/>
      <c r="G291" s="3"/>
      <c r="H291" s="1538"/>
      <c r="I291" s="1538"/>
      <c r="J291" s="1538"/>
      <c r="K291" s="1538"/>
      <c r="L291" s="1538"/>
      <c r="M291" s="1538"/>
      <c r="N291" s="3"/>
      <c r="O291" s="3"/>
      <c r="P291" s="118"/>
      <c r="Q291" s="118"/>
      <c r="R291" s="118"/>
      <c r="S291" s="3"/>
      <c r="T291" s="3" t="s">
        <v>90</v>
      </c>
      <c r="V291" s="3"/>
      <c r="W291" s="3"/>
      <c r="X291" s="3"/>
      <c r="Y291" s="3"/>
      <c r="AA291" s="1538"/>
      <c r="AB291" s="1538"/>
      <c r="AC291" s="1538"/>
      <c r="AD291" s="1538"/>
      <c r="AE291" s="1538"/>
      <c r="AF291" s="1538"/>
      <c r="AG291" s="3"/>
      <c r="AH291" s="3"/>
      <c r="AI291" s="118"/>
      <c r="AJ291" s="118"/>
      <c r="AK291" s="118"/>
      <c r="BN291" s="34"/>
    </row>
    <row r="292" spans="2:66" ht="12.95" customHeight="1">
      <c r="B292" s="3" t="s">
        <v>77</v>
      </c>
      <c r="C292" s="3"/>
      <c r="D292" s="3"/>
      <c r="E292" s="3"/>
      <c r="F292" s="3"/>
      <c r="G292" s="3"/>
      <c r="H292" s="1546" t="s">
        <v>2641</v>
      </c>
      <c r="I292" s="1366"/>
      <c r="J292" s="1366"/>
      <c r="K292" s="1366"/>
      <c r="L292" s="1366"/>
      <c r="M292" s="1366"/>
      <c r="N292" s="1394"/>
      <c r="O292" s="1394"/>
      <c r="P292" s="1394"/>
      <c r="Q292" s="1394"/>
      <c r="R292" s="1394"/>
      <c r="S292" s="3"/>
      <c r="T292" s="3" t="s">
        <v>77</v>
      </c>
      <c r="V292" s="3"/>
      <c r="W292" s="3"/>
      <c r="X292" s="3"/>
      <c r="Y292" s="3"/>
      <c r="AA292" s="1546" t="s">
        <v>2667</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2651</v>
      </c>
      <c r="I294" s="1394"/>
      <c r="J294" s="1394"/>
      <c r="K294" s="1394"/>
      <c r="L294" s="1394"/>
      <c r="M294" s="1394"/>
      <c r="N294" s="1394"/>
      <c r="O294" s="1394"/>
      <c r="P294" s="1394"/>
      <c r="Q294" s="1394"/>
      <c r="R294" s="1394"/>
      <c r="T294" s="3" t="s">
        <v>366</v>
      </c>
      <c r="V294" s="3"/>
      <c r="W294" s="3"/>
      <c r="X294" s="3"/>
      <c r="Y294" s="3"/>
      <c r="AA294" s="1394" t="s">
        <v>2668</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c r="I295" s="1366"/>
      <c r="J295" s="1366"/>
      <c r="K295" s="1366"/>
      <c r="L295" s="1366"/>
      <c r="M295" s="1366"/>
      <c r="N295" s="1366"/>
      <c r="O295" s="1366"/>
      <c r="P295" s="1366"/>
      <c r="Q295" s="1366"/>
      <c r="R295" s="1366"/>
      <c r="T295" s="3" t="s">
        <v>481</v>
      </c>
      <c r="V295" s="3"/>
      <c r="W295" s="3"/>
      <c r="X295" s="3"/>
      <c r="Y295" s="3"/>
      <c r="AA295" s="1366" t="s">
        <v>2669</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c r="I296" s="1366"/>
      <c r="J296" s="1366"/>
      <c r="K296" s="1366"/>
      <c r="L296" s="1366"/>
      <c r="M296" s="1366"/>
      <c r="N296" s="1366"/>
      <c r="O296" s="1366"/>
      <c r="P296" s="1366"/>
      <c r="Q296" s="1366"/>
      <c r="R296" s="1366"/>
      <c r="T296" s="3" t="s">
        <v>76</v>
      </c>
      <c r="V296" s="3"/>
      <c r="W296" s="3"/>
      <c r="X296" s="3"/>
      <c r="Y296" s="3"/>
      <c r="AA296" s="1366" t="s">
        <v>2670</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c r="I297" s="1366"/>
      <c r="J297" s="1366"/>
      <c r="K297" s="1366"/>
      <c r="L297" s="1366"/>
      <c r="M297" s="1366"/>
      <c r="N297" s="1366"/>
      <c r="O297" s="1366"/>
      <c r="P297" s="1366"/>
      <c r="Q297" s="1366"/>
      <c r="R297" s="1366"/>
      <c r="T297" s="3" t="s">
        <v>88</v>
      </c>
      <c r="V297" s="3"/>
      <c r="W297" s="3"/>
      <c r="X297" s="3"/>
      <c r="Y297" s="3"/>
      <c r="AA297" s="1366" t="s">
        <v>2671</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44"/>
      <c r="I298" s="1544"/>
      <c r="J298" s="1544"/>
      <c r="K298" s="1544"/>
      <c r="L298" s="1544"/>
      <c r="M298" s="1544"/>
      <c r="N298" s="4" t="s">
        <v>208</v>
      </c>
      <c r="O298" s="4"/>
      <c r="P298" s="1539"/>
      <c r="Q298" s="1539"/>
      <c r="R298" s="1539"/>
      <c r="S298" s="3"/>
      <c r="T298" s="3" t="s">
        <v>89</v>
      </c>
      <c r="V298" s="3"/>
      <c r="W298" s="3"/>
      <c r="X298" s="3"/>
      <c r="Y298" s="3"/>
      <c r="AA298" s="1540">
        <v>5308916444</v>
      </c>
      <c r="AB298" s="1540"/>
      <c r="AC298" s="1540"/>
      <c r="AD298" s="1540"/>
      <c r="AE298" s="1540"/>
      <c r="AF298" s="1540"/>
      <c r="AG298" s="3" t="s">
        <v>208</v>
      </c>
      <c r="AH298" s="3"/>
      <c r="AI298" s="1541"/>
      <c r="AJ298" s="1541"/>
      <c r="AK298" s="1541"/>
      <c r="BN298" s="34"/>
    </row>
    <row r="299" spans="2:66" ht="12.95" customHeight="1">
      <c r="B299" s="3" t="s">
        <v>90</v>
      </c>
      <c r="C299" s="3"/>
      <c r="D299" s="3"/>
      <c r="E299" s="3"/>
      <c r="F299" s="3"/>
      <c r="G299" s="3"/>
      <c r="H299" s="1436"/>
      <c r="I299" s="1436"/>
      <c r="J299" s="1436"/>
      <c r="K299" s="1436"/>
      <c r="L299" s="1436"/>
      <c r="M299" s="1436"/>
      <c r="N299" s="4"/>
      <c r="O299" s="4"/>
      <c r="P299" s="35"/>
      <c r="Q299" s="35"/>
      <c r="R299" s="35"/>
      <c r="S299" s="3"/>
      <c r="T299" s="3" t="s">
        <v>90</v>
      </c>
      <c r="V299" s="3"/>
      <c r="W299" s="3"/>
      <c r="X299" s="3"/>
      <c r="Y299" s="3"/>
      <c r="AA299" s="1538"/>
      <c r="AB299" s="1538"/>
      <c r="AC299" s="1538"/>
      <c r="AD299" s="1538"/>
      <c r="AE299" s="1538"/>
      <c r="AF299" s="1538"/>
      <c r="AG299" s="3"/>
      <c r="AH299" s="3"/>
      <c r="AI299" s="118"/>
      <c r="AJ299" s="118"/>
      <c r="AK299" s="118"/>
      <c r="BN299" s="34"/>
    </row>
    <row r="300" spans="2:66" ht="12.95" customHeight="1">
      <c r="B300" s="3" t="s">
        <v>77</v>
      </c>
      <c r="C300" s="3"/>
      <c r="D300" s="3"/>
      <c r="E300" s="3"/>
      <c r="F300" s="3"/>
      <c r="G300" s="3"/>
      <c r="H300" s="1366"/>
      <c r="I300" s="1366"/>
      <c r="J300" s="1366"/>
      <c r="K300" s="1366"/>
      <c r="L300" s="1366"/>
      <c r="M300" s="1366"/>
      <c r="N300" s="1394"/>
      <c r="O300" s="1394"/>
      <c r="P300" s="1394"/>
      <c r="Q300" s="1394"/>
      <c r="R300" s="1394"/>
      <c r="S300" s="3"/>
      <c r="T300" s="3" t="s">
        <v>77</v>
      </c>
      <c r="V300" s="3"/>
      <c r="W300" s="3"/>
      <c r="X300" s="3"/>
      <c r="Y300" s="3"/>
      <c r="AA300" s="1546" t="s">
        <v>2672</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2673</v>
      </c>
      <c r="I302" s="1394"/>
      <c r="J302" s="1394"/>
      <c r="K302" s="1394"/>
      <c r="L302" s="1394"/>
      <c r="M302" s="1394"/>
      <c r="N302" s="1394"/>
      <c r="O302" s="1394"/>
      <c r="P302" s="1394"/>
      <c r="Q302" s="1394"/>
      <c r="R302" s="1394"/>
      <c r="T302" s="4" t="s">
        <v>908</v>
      </c>
      <c r="V302" s="3"/>
      <c r="W302" s="3"/>
      <c r="X302" s="3"/>
      <c r="Y302" s="3"/>
      <c r="AA302" s="1394" t="s">
        <v>2678</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2674</v>
      </c>
      <c r="I303" s="1366"/>
      <c r="J303" s="1366"/>
      <c r="K303" s="1366"/>
      <c r="L303" s="1366"/>
      <c r="M303" s="1366"/>
      <c r="N303" s="1366"/>
      <c r="O303" s="1366"/>
      <c r="P303" s="1366"/>
      <c r="Q303" s="1366"/>
      <c r="R303" s="1366"/>
      <c r="T303" s="3" t="s">
        <v>481</v>
      </c>
      <c r="V303" s="3"/>
      <c r="W303" s="3"/>
      <c r="X303" s="3"/>
      <c r="Y303" s="3"/>
      <c r="AA303" s="1366" t="s">
        <v>2679</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2675</v>
      </c>
      <c r="I304" s="1366"/>
      <c r="J304" s="1366"/>
      <c r="K304" s="1366"/>
      <c r="L304" s="1366"/>
      <c r="M304" s="1366"/>
      <c r="N304" s="1366"/>
      <c r="O304" s="1366"/>
      <c r="P304" s="1366"/>
      <c r="Q304" s="1366"/>
      <c r="R304" s="1366"/>
      <c r="T304" s="3" t="s">
        <v>76</v>
      </c>
      <c r="V304" s="3"/>
      <c r="W304" s="3"/>
      <c r="X304" s="3"/>
      <c r="Y304" s="3"/>
      <c r="AA304" s="1366" t="s">
        <v>2680</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2676</v>
      </c>
      <c r="I305" s="1366"/>
      <c r="J305" s="1366"/>
      <c r="K305" s="1366"/>
      <c r="L305" s="1366"/>
      <c r="M305" s="1366"/>
      <c r="N305" s="1366"/>
      <c r="O305" s="1366"/>
      <c r="P305" s="1366"/>
      <c r="Q305" s="1366"/>
      <c r="R305" s="1366"/>
      <c r="T305" s="3" t="s">
        <v>88</v>
      </c>
      <c r="V305" s="3"/>
      <c r="W305" s="3"/>
      <c r="X305" s="3"/>
      <c r="Y305" s="3"/>
      <c r="AA305" s="1366" t="s">
        <v>2681</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40">
        <v>9164429100</v>
      </c>
      <c r="I306" s="1540"/>
      <c r="J306" s="1540"/>
      <c r="K306" s="1540"/>
      <c r="L306" s="1540"/>
      <c r="M306" s="1540"/>
      <c r="N306" s="3" t="s">
        <v>208</v>
      </c>
      <c r="O306" s="3"/>
      <c r="P306" s="1541">
        <v>112</v>
      </c>
      <c r="Q306" s="1541"/>
      <c r="R306" s="1541"/>
      <c r="S306" s="3"/>
      <c r="T306" s="3" t="s">
        <v>89</v>
      </c>
      <c r="V306" s="3"/>
      <c r="W306" s="3"/>
      <c r="X306" s="3"/>
      <c r="Y306" s="3"/>
      <c r="AA306" s="1436">
        <v>7078261450</v>
      </c>
      <c r="AB306" s="1436"/>
      <c r="AC306" s="1436"/>
      <c r="AD306" s="1436"/>
      <c r="AE306" s="1436"/>
      <c r="AF306" s="1436"/>
      <c r="AG306" s="4" t="s">
        <v>208</v>
      </c>
      <c r="AH306" s="4"/>
      <c r="AI306" s="1465"/>
      <c r="AJ306" s="1465"/>
      <c r="AK306" s="1465"/>
      <c r="BN306" s="34"/>
    </row>
    <row r="307" spans="2:66" ht="12.95" customHeight="1">
      <c r="B307" s="3" t="s">
        <v>90</v>
      </c>
      <c r="C307" s="3"/>
      <c r="D307" s="3"/>
      <c r="E307" s="3"/>
      <c r="F307" s="3"/>
      <c r="G307" s="3"/>
      <c r="H307" s="1538">
        <v>9164429103</v>
      </c>
      <c r="I307" s="1538"/>
      <c r="J307" s="1538"/>
      <c r="K307" s="1538"/>
      <c r="L307" s="1538"/>
      <c r="M307" s="1538"/>
      <c r="N307" s="3"/>
      <c r="O307" s="3"/>
      <c r="P307" s="118"/>
      <c r="Q307" s="118"/>
      <c r="R307" s="118"/>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546" t="s">
        <v>2677</v>
      </c>
      <c r="I308" s="1366"/>
      <c r="J308" s="1366"/>
      <c r="K308" s="1366"/>
      <c r="L308" s="1366"/>
      <c r="M308" s="1366"/>
      <c r="N308" s="1394"/>
      <c r="O308" s="1394"/>
      <c r="P308" s="1394"/>
      <c r="Q308" s="1394"/>
      <c r="R308" s="1394"/>
      <c r="S308" s="3"/>
      <c r="T308" s="3" t="s">
        <v>77</v>
      </c>
      <c r="V308" s="3"/>
      <c r="W308" s="3"/>
      <c r="X308" s="3"/>
      <c r="Y308" s="3"/>
      <c r="AA308" s="1468" t="s">
        <v>2682</v>
      </c>
      <c r="AB308" s="1394"/>
      <c r="AC308" s="1394"/>
      <c r="AD308" s="1394"/>
      <c r="AE308" s="1394"/>
      <c r="AF308" s="1394"/>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2673</v>
      </c>
      <c r="I310" s="1394"/>
      <c r="J310" s="1394"/>
      <c r="K310" s="1394"/>
      <c r="L310" s="1394"/>
      <c r="M310" s="1394"/>
      <c r="N310" s="1394"/>
      <c r="O310" s="1394"/>
      <c r="P310" s="1394"/>
      <c r="Q310" s="1394"/>
      <c r="R310" s="1394"/>
      <c r="S310" s="3"/>
      <c r="T310" s="3" t="s">
        <v>367</v>
      </c>
      <c r="V310" s="3"/>
      <c r="W310" s="3"/>
      <c r="X310" s="3"/>
      <c r="Y310" s="3"/>
      <c r="AA310" s="1394" t="s">
        <v>2651</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2674</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2675</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2676</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40">
        <v>9164429100</v>
      </c>
      <c r="I314" s="1540"/>
      <c r="J314" s="1540"/>
      <c r="K314" s="1540"/>
      <c r="L314" s="1540"/>
      <c r="M314" s="1540"/>
      <c r="N314" s="3" t="s">
        <v>208</v>
      </c>
      <c r="O314" s="3"/>
      <c r="P314" s="1541">
        <v>112</v>
      </c>
      <c r="Q314" s="1541"/>
      <c r="R314" s="1541"/>
      <c r="S314" s="3"/>
      <c r="T314" s="3" t="s">
        <v>89</v>
      </c>
      <c r="V314" s="3"/>
      <c r="W314" s="3"/>
      <c r="X314" s="3"/>
      <c r="Y314" s="3"/>
      <c r="AA314" s="1544"/>
      <c r="AB314" s="1544"/>
      <c r="AC314" s="1544"/>
      <c r="AD314" s="1544"/>
      <c r="AE314" s="1544"/>
      <c r="AF314" s="1544"/>
      <c r="AG314" s="4" t="s">
        <v>208</v>
      </c>
      <c r="AH314" s="4"/>
      <c r="AI314" s="1539"/>
      <c r="AJ314" s="1539"/>
      <c r="AK314" s="1539"/>
      <c r="BN314" s="34"/>
    </row>
    <row r="315" spans="2:66" ht="12.95" customHeight="1">
      <c r="B315" s="3" t="s">
        <v>90</v>
      </c>
      <c r="C315" s="3"/>
      <c r="D315" s="3"/>
      <c r="E315" s="3"/>
      <c r="F315" s="3"/>
      <c r="G315" s="3"/>
      <c r="H315" s="1538">
        <v>9164429103</v>
      </c>
      <c r="I315" s="1538"/>
      <c r="J315" s="1538"/>
      <c r="K315" s="1538"/>
      <c r="L315" s="1538"/>
      <c r="M315" s="1538"/>
      <c r="N315" s="3"/>
      <c r="O315" s="3"/>
      <c r="P315" s="118"/>
      <c r="Q315" s="118"/>
      <c r="R315" s="118"/>
      <c r="S315" s="3"/>
      <c r="T315" s="3" t="s">
        <v>90</v>
      </c>
      <c r="V315" s="3"/>
      <c r="W315" s="3"/>
      <c r="X315" s="3"/>
      <c r="Y315" s="3"/>
      <c r="AA315" s="1436"/>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546" t="s">
        <v>2677</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t="s">
        <v>601</v>
      </c>
      <c r="I318" s="1394"/>
      <c r="J318" s="1394"/>
      <c r="K318" s="1394"/>
      <c r="L318" s="1394"/>
      <c r="M318" s="1394"/>
      <c r="N318" s="1394"/>
      <c r="O318" s="1394"/>
      <c r="P318" s="1394"/>
      <c r="Q318" s="1394"/>
      <c r="R318" s="1394"/>
      <c r="T318" s="3" t="s">
        <v>368</v>
      </c>
      <c r="V318" s="3"/>
      <c r="W318" s="3"/>
      <c r="X318" s="3"/>
      <c r="Y318" s="3"/>
      <c r="AA318" s="1394" t="s">
        <v>2683</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2684</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2685</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2686</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44"/>
      <c r="I322" s="1544"/>
      <c r="J322" s="1544"/>
      <c r="K322" s="1544"/>
      <c r="L322" s="1544"/>
      <c r="M322" s="1544"/>
      <c r="N322" s="4" t="s">
        <v>208</v>
      </c>
      <c r="O322" s="4"/>
      <c r="P322" s="1539"/>
      <c r="Q322" s="1539"/>
      <c r="R322" s="1539"/>
      <c r="S322" s="3"/>
      <c r="T322" s="3" t="s">
        <v>89</v>
      </c>
      <c r="V322" s="3"/>
      <c r="W322" s="3"/>
      <c r="X322" s="3"/>
      <c r="Y322" s="3"/>
      <c r="AA322" s="1544">
        <v>4022020771</v>
      </c>
      <c r="AB322" s="1544"/>
      <c r="AC322" s="1544"/>
      <c r="AD322" s="1544"/>
      <c r="AE322" s="1544"/>
      <c r="AF322" s="1544"/>
      <c r="AG322" s="4" t="s">
        <v>208</v>
      </c>
      <c r="AH322" s="4"/>
      <c r="AI322" s="1539"/>
      <c r="AJ322" s="1539"/>
      <c r="AK322" s="1539"/>
      <c r="BN322" s="34"/>
    </row>
    <row r="323" spans="2:66" ht="12.95"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c r="AB323" s="1436"/>
      <c r="AC323" s="1436"/>
      <c r="AD323" s="1436"/>
      <c r="AE323" s="1436"/>
      <c r="AF323" s="1436"/>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546" t="s">
        <v>2687</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601</v>
      </c>
      <c r="I326" s="1394"/>
      <c r="J326" s="1394"/>
      <c r="K326" s="1394"/>
      <c r="L326" s="1394"/>
      <c r="M326" s="1394"/>
      <c r="N326" s="1394"/>
      <c r="O326" s="1394"/>
      <c r="P326" s="1394"/>
      <c r="Q326" s="1394"/>
      <c r="R326" s="1394"/>
      <c r="T326" s="3" t="s">
        <v>370</v>
      </c>
      <c r="V326" s="3"/>
      <c r="W326" s="3"/>
      <c r="X326" s="3"/>
      <c r="Y326" s="3"/>
      <c r="AA326" s="1394" t="s">
        <v>601</v>
      </c>
      <c r="AB326" s="1394"/>
      <c r="AC326" s="1394"/>
      <c r="AD326" s="1394"/>
      <c r="AE326" s="1394"/>
      <c r="AF326" s="1394"/>
      <c r="AG326" s="1394"/>
      <c r="AH326" s="1394"/>
      <c r="AI326" s="1394"/>
      <c r="AJ326" s="1394"/>
      <c r="AK326" s="1394"/>
    </row>
    <row r="327" spans="2:66" ht="12.95" customHeight="1">
      <c r="B327" s="3" t="s">
        <v>481</v>
      </c>
      <c r="C327" s="3"/>
      <c r="D327" s="3"/>
      <c r="E327" s="3"/>
      <c r="F327" s="3"/>
      <c r="H327" s="1366"/>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44"/>
      <c r="I330" s="1544"/>
      <c r="J330" s="1544"/>
      <c r="K330" s="1544"/>
      <c r="L330" s="1544"/>
      <c r="M330" s="1544"/>
      <c r="N330" s="4" t="s">
        <v>208</v>
      </c>
      <c r="O330" s="4"/>
      <c r="P330" s="1539"/>
      <c r="Q330" s="1539"/>
      <c r="R330" s="1539"/>
      <c r="S330" s="3"/>
      <c r="T330" s="3" t="s">
        <v>89</v>
      </c>
      <c r="V330" s="3"/>
      <c r="W330" s="3"/>
      <c r="X330" s="3"/>
      <c r="Y330" s="3"/>
      <c r="AA330" s="1544"/>
      <c r="AB330" s="1544"/>
      <c r="AC330" s="1544"/>
      <c r="AD330" s="1544"/>
      <c r="AE330" s="1544"/>
      <c r="AF330" s="1544"/>
      <c r="AG330" s="4" t="s">
        <v>208</v>
      </c>
      <c r="AH330" s="4"/>
      <c r="AI330" s="1539"/>
      <c r="AJ330" s="1539"/>
      <c r="AK330" s="1539"/>
    </row>
    <row r="331" spans="2:66" ht="12.95"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5" customHeight="1">
      <c r="B332" s="3" t="s">
        <v>77</v>
      </c>
      <c r="C332" s="3"/>
      <c r="D332" s="3"/>
      <c r="E332" s="3"/>
      <c r="F332" s="3"/>
      <c r="G332" s="3"/>
      <c r="H332" s="1366"/>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2688</v>
      </c>
      <c r="I334" s="1394"/>
      <c r="J334" s="1394"/>
      <c r="K334" s="1394"/>
      <c r="L334" s="1394"/>
      <c r="M334" s="1394"/>
      <c r="N334" s="1394"/>
      <c r="O334" s="1394"/>
      <c r="P334" s="1394"/>
      <c r="Q334" s="1394"/>
      <c r="R334" s="1394"/>
      <c r="T334" s="218" t="s">
        <v>917</v>
      </c>
      <c r="V334" s="3"/>
      <c r="W334" s="3"/>
      <c r="X334" s="3"/>
      <c r="Y334" s="3"/>
      <c r="AA334" s="1394" t="s">
        <v>2693</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2689</v>
      </c>
      <c r="I335" s="1366"/>
      <c r="J335" s="1366"/>
      <c r="K335" s="1366"/>
      <c r="L335" s="1366"/>
      <c r="M335" s="1366"/>
      <c r="N335" s="1366"/>
      <c r="O335" s="1366"/>
      <c r="P335" s="1366"/>
      <c r="Q335" s="1366"/>
      <c r="R335" s="1366"/>
      <c r="T335" s="3" t="s">
        <v>481</v>
      </c>
      <c r="V335" s="3"/>
      <c r="W335" s="3"/>
      <c r="X335" s="3"/>
      <c r="Y335" s="3"/>
      <c r="AA335" s="1366" t="s">
        <v>2694</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2690</v>
      </c>
      <c r="I336" s="1366"/>
      <c r="J336" s="1366"/>
      <c r="K336" s="1366"/>
      <c r="L336" s="1366"/>
      <c r="M336" s="1366"/>
      <c r="N336" s="1366"/>
      <c r="O336" s="1366"/>
      <c r="P336" s="1366"/>
      <c r="Q336" s="1366"/>
      <c r="R336" s="1366"/>
      <c r="T336" s="3" t="s">
        <v>76</v>
      </c>
      <c r="V336" s="3"/>
      <c r="W336" s="3"/>
      <c r="X336" s="3"/>
      <c r="Y336" s="3"/>
      <c r="AA336" s="1366" t="s">
        <v>2695</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2691</v>
      </c>
      <c r="I337" s="1366"/>
      <c r="J337" s="1366"/>
      <c r="K337" s="1366"/>
      <c r="L337" s="1366"/>
      <c r="M337" s="1366"/>
      <c r="N337" s="1366"/>
      <c r="O337" s="1366"/>
      <c r="P337" s="1366"/>
      <c r="Q337" s="1366"/>
      <c r="R337" s="1366"/>
      <c r="T337" s="3" t="s">
        <v>88</v>
      </c>
      <c r="V337" s="3"/>
      <c r="W337" s="3"/>
      <c r="X337" s="3"/>
      <c r="Y337" s="3"/>
      <c r="AA337" s="1366" t="s">
        <v>2696</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40">
        <v>7609301266</v>
      </c>
      <c r="I338" s="1540"/>
      <c r="J338" s="1540"/>
      <c r="K338" s="1540"/>
      <c r="L338" s="1540"/>
      <c r="M338" s="1540"/>
      <c r="N338" s="3" t="s">
        <v>208</v>
      </c>
      <c r="O338" s="3"/>
      <c r="P338" s="1541"/>
      <c r="Q338" s="1541"/>
      <c r="R338" s="1541"/>
      <c r="S338" s="3"/>
      <c r="T338" s="3" t="s">
        <v>89</v>
      </c>
      <c r="V338" s="3"/>
      <c r="W338" s="3"/>
      <c r="X338" s="3"/>
      <c r="Y338" s="3"/>
      <c r="AA338" s="1540">
        <v>5594899930</v>
      </c>
      <c r="AB338" s="1540"/>
      <c r="AC338" s="1540"/>
      <c r="AD338" s="1540"/>
      <c r="AE338" s="1540"/>
      <c r="AF338" s="1540"/>
      <c r="AG338" s="3" t="s">
        <v>208</v>
      </c>
      <c r="AH338" s="3"/>
      <c r="AI338" s="1541"/>
      <c r="AJ338" s="1541"/>
      <c r="AK338" s="1541"/>
    </row>
    <row r="339" spans="1:66" ht="12.95" customHeight="1">
      <c r="B339" s="3" t="s">
        <v>90</v>
      </c>
      <c r="C339" s="3"/>
      <c r="D339" s="3"/>
      <c r="E339" s="3"/>
      <c r="F339" s="3"/>
      <c r="G339" s="3"/>
      <c r="H339" s="1538">
        <v>7606833390</v>
      </c>
      <c r="I339" s="1538"/>
      <c r="J339" s="1538"/>
      <c r="K339" s="1538"/>
      <c r="L339" s="1538"/>
      <c r="M339" s="1538"/>
      <c r="N339" s="3"/>
      <c r="O339" s="3"/>
      <c r="P339" s="118"/>
      <c r="Q339" s="118"/>
      <c r="R339" s="118"/>
      <c r="S339" s="3"/>
      <c r="T339" s="3" t="s">
        <v>90</v>
      </c>
      <c r="V339" s="3"/>
      <c r="W339" s="3"/>
      <c r="X339" s="3"/>
      <c r="Y339" s="3"/>
      <c r="AA339" s="1538"/>
      <c r="AB339" s="1538"/>
      <c r="AC339" s="1538"/>
      <c r="AD339" s="1538"/>
      <c r="AE339" s="1538"/>
      <c r="AF339" s="1538"/>
      <c r="AG339" s="3"/>
      <c r="AH339" s="3"/>
      <c r="AI339" s="118"/>
      <c r="AJ339" s="118"/>
      <c r="AK339" s="118"/>
    </row>
    <row r="340" spans="1:66" ht="12.95" customHeight="1">
      <c r="B340" s="3" t="s">
        <v>77</v>
      </c>
      <c r="C340" s="3"/>
      <c r="D340" s="3"/>
      <c r="E340" s="3"/>
      <c r="F340" s="3"/>
      <c r="G340" s="3"/>
      <c r="H340" s="1546" t="s">
        <v>2692</v>
      </c>
      <c r="I340" s="1366"/>
      <c r="J340" s="1366"/>
      <c r="K340" s="1366"/>
      <c r="L340" s="1366"/>
      <c r="M340" s="1366"/>
      <c r="N340" s="1394"/>
      <c r="O340" s="1394"/>
      <c r="P340" s="1394"/>
      <c r="Q340" s="1394"/>
      <c r="R340" s="1394"/>
      <c r="S340" s="3"/>
      <c r="T340" s="3" t="s">
        <v>77</v>
      </c>
      <c r="V340" s="3"/>
      <c r="W340" s="3"/>
      <c r="X340" s="3"/>
      <c r="Y340" s="3"/>
      <c r="AA340" s="1546" t="s">
        <v>2697</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t="s">
        <v>601</v>
      </c>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5"/>
      <c r="AD346" s="1465"/>
      <c r="AE346" s="1465"/>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2522</v>
      </c>
      <c r="M354" s="1373" t="s">
        <v>555</v>
      </c>
      <c r="N354" s="1373"/>
      <c r="P354" t="s">
        <v>1831</v>
      </c>
      <c r="AJ354" s="1373" t="s">
        <v>679</v>
      </c>
      <c r="AK354" s="1373"/>
    </row>
    <row r="355" spans="1:37" ht="12.95" customHeight="1">
      <c r="D355" s="3" t="s">
        <v>1820</v>
      </c>
      <c r="M355" s="1373" t="s">
        <v>601</v>
      </c>
      <c r="N355" s="1373"/>
      <c r="P355" s="3" t="s">
        <v>1980</v>
      </c>
      <c r="AJ355" s="1429"/>
      <c r="AK355" s="1429"/>
    </row>
    <row r="356" spans="1:37" ht="12.95" customHeight="1">
      <c r="D356" s="3" t="s">
        <v>717</v>
      </c>
      <c r="M356" s="1373" t="s">
        <v>601</v>
      </c>
      <c r="N356" s="1373"/>
      <c r="P356" t="s">
        <v>1830</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1018</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600" t="s">
        <v>719</v>
      </c>
      <c r="F367" s="1600"/>
      <c r="G367" s="1600"/>
      <c r="H367" s="1600"/>
      <c r="I367" s="1600"/>
      <c r="J367" s="1600"/>
      <c r="K367" s="1600"/>
      <c r="L367" s="1600"/>
      <c r="M367" s="1600"/>
      <c r="N367" s="1600"/>
      <c r="O367" s="1600"/>
      <c r="P367" s="1600"/>
      <c r="Q367" s="1600"/>
      <c r="R367" s="1600"/>
      <c r="S367" s="1600"/>
      <c r="T367" s="1600"/>
      <c r="U367" s="1600"/>
      <c r="V367" s="1600"/>
      <c r="W367" s="1600"/>
      <c r="X367" s="1600"/>
      <c r="Y367" s="1600"/>
      <c r="Z367" s="1600"/>
      <c r="AA367" s="1600"/>
      <c r="AB367" s="1600"/>
      <c r="AC367" s="1600"/>
      <c r="AD367" s="1600"/>
      <c r="AE367" s="1600"/>
      <c r="AF367" s="1600"/>
      <c r="AG367" s="1600"/>
      <c r="AH367" s="1600"/>
    </row>
    <row r="368" spans="1:37" ht="12.95" customHeight="1">
      <c r="E368" s="1600"/>
      <c r="F368" s="1600"/>
      <c r="G368" s="1600"/>
      <c r="H368" s="1600"/>
      <c r="I368" s="1600"/>
      <c r="J368" s="1600"/>
      <c r="K368" s="1600"/>
      <c r="L368" s="1600"/>
      <c r="M368" s="1600"/>
      <c r="N368" s="1600"/>
      <c r="O368" s="1600"/>
      <c r="P368" s="1600"/>
      <c r="Q368" s="1600"/>
      <c r="R368" s="1600"/>
      <c r="S368" s="1600"/>
      <c r="T368" s="1600"/>
      <c r="U368" s="1600"/>
      <c r="V368" s="1600"/>
      <c r="W368" s="1600"/>
      <c r="X368" s="1600"/>
      <c r="Y368" s="1600"/>
      <c r="Z368" s="1600"/>
      <c r="AA368" s="1600"/>
      <c r="AB368" s="1600"/>
      <c r="AC368" s="1600"/>
      <c r="AD368" s="1600"/>
      <c r="AE368" s="1600"/>
      <c r="AF368" s="1600"/>
      <c r="AG368" s="1600"/>
      <c r="AH368" s="1600"/>
    </row>
    <row r="369" spans="1:36" ht="12.95" customHeight="1">
      <c r="E369" s="4" t="s">
        <v>458</v>
      </c>
      <c r="F369" s="4"/>
      <c r="G369" s="4"/>
      <c r="H369" s="4"/>
      <c r="I369" s="4"/>
      <c r="J369" s="4"/>
      <c r="K369" s="4"/>
      <c r="L369" s="4"/>
      <c r="N369" s="1435"/>
      <c r="O369" s="1435"/>
      <c r="P369" s="1435"/>
      <c r="Q369" s="1435"/>
      <c r="R369" s="4"/>
      <c r="U369" s="4" t="s">
        <v>459</v>
      </c>
      <c r="V369" s="4"/>
      <c r="W369" s="4"/>
      <c r="X369" s="4"/>
      <c r="Y369" s="4"/>
      <c r="Z369" s="4"/>
      <c r="AA369" s="4"/>
      <c r="AB369" s="4"/>
      <c r="AC369" s="1435"/>
      <c r="AD369" s="1435"/>
      <c r="AE369" s="1435"/>
      <c r="AF369" s="1435"/>
    </row>
    <row r="370" spans="1:36" ht="12.95" customHeight="1">
      <c r="E370" s="4" t="s">
        <v>460</v>
      </c>
      <c r="F370" s="4"/>
      <c r="G370" s="4"/>
      <c r="H370" s="4"/>
      <c r="I370" s="4"/>
      <c r="J370" s="4"/>
      <c r="K370" s="4"/>
      <c r="L370" s="4"/>
      <c r="N370" s="1435"/>
      <c r="O370" s="1435"/>
      <c r="P370" s="1435"/>
      <c r="Q370" s="1435"/>
      <c r="R370" s="4"/>
      <c r="U370" s="4" t="s">
        <v>0</v>
      </c>
      <c r="V370" s="4"/>
      <c r="W370" s="4"/>
      <c r="X370" s="4"/>
      <c r="Y370" s="4"/>
      <c r="Z370" s="4"/>
      <c r="AA370" s="4"/>
      <c r="AB370" s="4"/>
      <c r="AC370" s="1435"/>
      <c r="AD370" s="1435"/>
      <c r="AE370" s="1435"/>
      <c r="AF370" s="1435"/>
    </row>
    <row r="371" spans="1:36" ht="12.95" customHeight="1">
      <c r="E371" s="4" t="s">
        <v>1</v>
      </c>
      <c r="F371" s="4"/>
      <c r="G371" s="4"/>
      <c r="H371" s="4"/>
      <c r="I371" s="4"/>
      <c r="J371" s="4"/>
      <c r="K371" s="4"/>
      <c r="L371" s="4"/>
      <c r="N371" s="1435"/>
      <c r="O371" s="1435"/>
      <c r="P371" s="1435"/>
      <c r="Q371" s="1435"/>
      <c r="R371" s="4"/>
      <c r="V371" s="4"/>
      <c r="W371" s="4"/>
      <c r="X371" s="4"/>
      <c r="Y371" s="4"/>
      <c r="Z371" s="4"/>
      <c r="AA371" s="4"/>
      <c r="AB371" s="4"/>
    </row>
    <row r="372" spans="1:36" ht="12.95"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2505</v>
      </c>
      <c r="F376" s="4"/>
      <c r="G376" s="4"/>
      <c r="H376" s="4"/>
      <c r="I376" s="4"/>
      <c r="J376" s="4"/>
      <c r="K376" s="4"/>
      <c r="L376" s="4"/>
      <c r="N376" t="s">
        <v>2499</v>
      </c>
      <c r="R376" s="27" t="s">
        <v>307</v>
      </c>
      <c r="S376" s="1442"/>
      <c r="T376" s="1442"/>
      <c r="U376" s="1" t="s">
        <v>308</v>
      </c>
      <c r="V376" s="1442"/>
      <c r="W376" s="1442"/>
      <c r="Y376" t="s">
        <v>2499</v>
      </c>
      <c r="AC376" s="27" t="s">
        <v>307</v>
      </c>
      <c r="AD376" s="1442"/>
      <c r="AE376" s="1442"/>
      <c r="AF376" s="1" t="s">
        <v>308</v>
      </c>
      <c r="AG376" s="1442"/>
      <c r="AH376" s="1442"/>
    </row>
    <row r="377" spans="1:36" ht="12.95" customHeight="1">
      <c r="E377" s="4" t="s">
        <v>1044</v>
      </c>
      <c r="F377" s="4"/>
      <c r="G377" s="4"/>
      <c r="H377" s="4"/>
      <c r="I377" s="4"/>
      <c r="J377" s="4"/>
      <c r="K377" s="4"/>
      <c r="L377" s="4"/>
      <c r="N377" s="1442"/>
      <c r="O377" s="1442"/>
      <c r="P377" s="1442"/>
    </row>
    <row r="378" spans="1:36" ht="12.95" customHeight="1">
      <c r="E378" s="218" t="s">
        <v>2506</v>
      </c>
      <c r="F378" s="4"/>
      <c r="G378" s="4"/>
      <c r="H378" s="4"/>
      <c r="I378" s="4"/>
      <c r="J378" s="4"/>
      <c r="K378" s="4"/>
      <c r="L378" s="4"/>
      <c r="AG378" s="1471" t="s">
        <v>601</v>
      </c>
      <c r="AH378" s="1471"/>
    </row>
    <row r="379" spans="1:36" ht="12.95" customHeight="1">
      <c r="E379" s="4"/>
      <c r="F379" s="4"/>
      <c r="G379" s="4" t="s">
        <v>2507</v>
      </c>
      <c r="H379" s="4"/>
      <c r="I379" s="4"/>
      <c r="J379" s="4"/>
      <c r="K379" s="4"/>
      <c r="L379" s="4"/>
      <c r="AG379" s="1471" t="s">
        <v>601</v>
      </c>
      <c r="AH379" s="1471"/>
    </row>
    <row r="380" spans="1:36" ht="12.95" customHeight="1">
      <c r="E380" s="4"/>
      <c r="F380" s="4"/>
      <c r="G380" s="349" t="s">
        <v>1045</v>
      </c>
      <c r="H380" s="4"/>
      <c r="I380" s="4"/>
      <c r="J380" s="4"/>
      <c r="K380" s="4"/>
      <c r="L380" s="4"/>
      <c r="V380" s="1373" t="s">
        <v>601</v>
      </c>
      <c r="W380" s="1373"/>
      <c r="Y380" s="22" t="s">
        <v>1020</v>
      </c>
    </row>
    <row r="381" spans="1:36" ht="12.95" customHeight="1">
      <c r="E381" s="4" t="s">
        <v>1021</v>
      </c>
      <c r="F381" s="4"/>
      <c r="G381" s="4"/>
      <c r="H381" s="4"/>
      <c r="I381" s="4"/>
      <c r="J381" s="4"/>
      <c r="K381" s="4"/>
      <c r="L381" s="4"/>
      <c r="V381" s="1373" t="s">
        <v>601</v>
      </c>
      <c r="W381" s="1373"/>
      <c r="Y381" s="4" t="s">
        <v>1022</v>
      </c>
    </row>
    <row r="382" spans="1:36" ht="12.95" customHeight="1"/>
    <row r="383" spans="1:36" ht="12.95" customHeight="1">
      <c r="A383" s="2" t="s">
        <v>79</v>
      </c>
      <c r="B383" s="2"/>
    </row>
    <row r="384" spans="1:36" ht="12.95" customHeight="1">
      <c r="D384" t="s">
        <v>430</v>
      </c>
      <c r="J384" s="1394" t="s">
        <v>2652</v>
      </c>
      <c r="K384" s="1394"/>
      <c r="L384" s="1394"/>
      <c r="M384" s="1394"/>
      <c r="N384" s="1394"/>
      <c r="O384" s="1394"/>
      <c r="P384" s="1394"/>
      <c r="Q384" s="1394"/>
      <c r="R384" s="1394"/>
      <c r="S384" s="1394"/>
      <c r="T384" s="1394"/>
      <c r="U384" s="1394"/>
      <c r="V384" s="8" t="s">
        <v>84</v>
      </c>
      <c r="W384" s="8"/>
      <c r="X384" s="8"/>
      <c r="Y384" s="8"/>
      <c r="Z384" s="8"/>
      <c r="AA384" s="8"/>
      <c r="AB384" s="8"/>
      <c r="AC384" s="1394" t="s">
        <v>2653</v>
      </c>
      <c r="AD384" s="1394"/>
      <c r="AE384" s="1394"/>
      <c r="AF384" s="1394"/>
      <c r="AG384" s="1394"/>
      <c r="AH384" s="1394"/>
      <c r="AI384" s="1394"/>
      <c r="AJ384" s="1394"/>
    </row>
    <row r="385" spans="4:36" ht="12.95" customHeight="1">
      <c r="D385" s="3" t="s">
        <v>1325</v>
      </c>
      <c r="J385" s="1366" t="s">
        <v>2653</v>
      </c>
      <c r="K385" s="1366"/>
      <c r="L385" s="1366"/>
      <c r="M385" s="1366"/>
      <c r="N385" s="1366"/>
      <c r="O385" s="1366"/>
      <c r="P385" s="1366"/>
      <c r="Q385" s="1366"/>
      <c r="R385" s="1366"/>
      <c r="S385" s="1366"/>
      <c r="T385" s="1366"/>
      <c r="U385" s="1366"/>
      <c r="V385" s="3" t="s">
        <v>1325</v>
      </c>
      <c r="W385" s="8"/>
      <c r="X385" s="8"/>
      <c r="Y385" s="8"/>
      <c r="Z385" s="8"/>
      <c r="AA385" s="8"/>
      <c r="AB385" s="8"/>
      <c r="AC385" s="1394" t="s">
        <v>2654</v>
      </c>
      <c r="AD385" s="1394"/>
      <c r="AE385" s="1394"/>
      <c r="AF385" s="1394"/>
      <c r="AG385" s="1394"/>
      <c r="AH385" s="1394"/>
      <c r="AI385" s="1394"/>
      <c r="AJ385" s="1394"/>
    </row>
    <row r="386" spans="4:36" ht="12.95" customHeight="1">
      <c r="D386" s="3" t="s">
        <v>445</v>
      </c>
      <c r="J386" s="1366" t="s">
        <v>2655</v>
      </c>
      <c r="K386" s="1366"/>
      <c r="L386" s="1366"/>
      <c r="M386" s="1366"/>
      <c r="N386" s="1366"/>
      <c r="O386" s="1366"/>
      <c r="P386" s="1366"/>
      <c r="Q386" s="1366"/>
      <c r="R386" s="1366"/>
      <c r="S386" s="1366"/>
      <c r="T386" s="1366"/>
      <c r="U386" s="1366"/>
      <c r="V386" s="3" t="s">
        <v>445</v>
      </c>
      <c r="W386" s="8"/>
      <c r="X386" s="8"/>
      <c r="Y386" s="8"/>
      <c r="Z386" s="8"/>
      <c r="AA386" s="8"/>
      <c r="AB386" s="8"/>
      <c r="AC386" s="1394" t="s">
        <v>2655</v>
      </c>
      <c r="AD386" s="1394"/>
      <c r="AE386" s="1394"/>
      <c r="AF386" s="1394"/>
      <c r="AG386" s="1394"/>
      <c r="AH386" s="1394"/>
      <c r="AI386" s="1394"/>
      <c r="AJ386" s="1394"/>
    </row>
    <row r="387" spans="4:36" ht="12.95" customHeight="1">
      <c r="D387" t="s">
        <v>1321</v>
      </c>
      <c r="J387" s="1355" t="s">
        <v>2656</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61">
        <v>44462</v>
      </c>
      <c r="R388" s="1761"/>
      <c r="S388" s="1761"/>
      <c r="T388" s="1761"/>
      <c r="U388" s="1761"/>
      <c r="V388" t="s">
        <v>311</v>
      </c>
      <c r="AI388" s="1373" t="s">
        <v>679</v>
      </c>
      <c r="AJ388" s="1373"/>
    </row>
    <row r="389" spans="4:36" ht="12.95" customHeight="1">
      <c r="D389" t="s">
        <v>5</v>
      </c>
      <c r="Q389" s="1598">
        <v>45289</v>
      </c>
      <c r="R389" s="1599"/>
      <c r="S389" s="1599"/>
      <c r="T389" s="1599"/>
      <c r="U389" s="1599"/>
      <c r="W389" s="21" t="s">
        <v>75</v>
      </c>
      <c r="AG389" s="1434"/>
      <c r="AH389" s="1434"/>
      <c r="AI389" s="1434"/>
      <c r="AJ389" s="1434"/>
    </row>
    <row r="390" spans="4:36" ht="12.95" customHeight="1">
      <c r="D390" t="s">
        <v>429</v>
      </c>
      <c r="Q390" s="1597">
        <v>1400000</v>
      </c>
      <c r="R390" s="1597"/>
      <c r="S390" s="1597"/>
      <c r="T390" s="1597"/>
      <c r="U390" s="1597"/>
      <c r="V390" s="3" t="s">
        <v>1324</v>
      </c>
      <c r="AG390" s="1445">
        <v>45245</v>
      </c>
      <c r="AH390" s="1445"/>
      <c r="AI390" s="1445"/>
      <c r="AJ390" s="1445"/>
    </row>
    <row r="391" spans="4:36" ht="12.95" customHeight="1">
      <c r="D391" t="s">
        <v>89</v>
      </c>
      <c r="I391" s="1544"/>
      <c r="J391" s="1544"/>
      <c r="K391" s="1544"/>
      <c r="L391" s="1544"/>
      <c r="M391" s="1544"/>
      <c r="N391" s="1544"/>
      <c r="Q391" s="4" t="s">
        <v>208</v>
      </c>
      <c r="S391" s="1602"/>
      <c r="T391" s="1602"/>
      <c r="U391" s="1602"/>
      <c r="V391" t="s">
        <v>74</v>
      </c>
      <c r="AI391" s="1373" t="s">
        <v>679</v>
      </c>
      <c r="AJ391" s="1373"/>
    </row>
    <row r="392" spans="4:36" ht="12.95" customHeight="1">
      <c r="D392" t="s">
        <v>312</v>
      </c>
      <c r="Q392" s="1439"/>
      <c r="R392" s="1439"/>
      <c r="S392" s="1439"/>
      <c r="T392" s="1439"/>
      <c r="U392" s="1439"/>
      <c r="V392" t="s">
        <v>313</v>
      </c>
      <c r="AG392" s="1434"/>
      <c r="AH392" s="1434"/>
      <c r="AI392" s="1434"/>
      <c r="AJ392" s="1434"/>
    </row>
    <row r="393" spans="4:36" ht="12.95" customHeight="1">
      <c r="D393" t="s">
        <v>314</v>
      </c>
      <c r="Q393" s="1720"/>
      <c r="R393" s="1720"/>
      <c r="S393" s="1720"/>
      <c r="T393" s="1720"/>
      <c r="U393" s="1720"/>
      <c r="V393" t="s">
        <v>1305</v>
      </c>
      <c r="AG393" s="1434"/>
      <c r="AH393" s="1434"/>
      <c r="AI393" s="1434"/>
      <c r="AJ393" s="1434"/>
    </row>
    <row r="394" spans="4:36" ht="12.95" customHeight="1">
      <c r="D394" t="s">
        <v>1304</v>
      </c>
      <c r="AG394" s="1434"/>
      <c r="AH394" s="1434"/>
      <c r="AI394" s="1434"/>
      <c r="AJ394" s="1434"/>
    </row>
    <row r="395" spans="4:36" ht="12.95" customHeight="1">
      <c r="AG395" s="491"/>
      <c r="AH395" s="491"/>
      <c r="AI395" s="491"/>
      <c r="AJ395" s="491"/>
    </row>
    <row r="396" spans="4:36" ht="12.95" customHeight="1">
      <c r="D396" s="3" t="s">
        <v>2617</v>
      </c>
      <c r="AG396" s="491"/>
      <c r="AH396" s="491"/>
      <c r="AI396" s="1373" t="s">
        <v>679</v>
      </c>
      <c r="AJ396" s="1373"/>
    </row>
    <row r="397" spans="4:36" ht="12.95" customHeight="1">
      <c r="D397" s="3" t="s">
        <v>1849</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1848</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1842</v>
      </c>
      <c r="S400" s="1407" t="s">
        <v>679</v>
      </c>
      <c r="T400" s="1407"/>
      <c r="U400" s="1407"/>
      <c r="V400" t="s">
        <v>1843</v>
      </c>
      <c r="AG400" s="1472"/>
      <c r="AH400" s="1472"/>
      <c r="AI400" s="1472"/>
      <c r="AJ400" s="1472"/>
    </row>
    <row r="401" spans="1:36" ht="12.95" customHeight="1">
      <c r="D401" s="3" t="s">
        <v>1840</v>
      </c>
      <c r="S401" s="1407" t="s">
        <v>601</v>
      </c>
      <c r="T401" s="1407"/>
      <c r="U401" s="1407"/>
      <c r="V401" t="s">
        <v>1845</v>
      </c>
      <c r="AE401" s="1473"/>
      <c r="AF401" s="1473"/>
      <c r="AG401" s="1473"/>
      <c r="AH401" s="1473"/>
      <c r="AI401" s="1473"/>
      <c r="AJ401" s="1473"/>
    </row>
    <row r="402" spans="1:36" ht="12.95" customHeight="1">
      <c r="D402" s="3" t="s">
        <v>1841</v>
      </c>
      <c r="K402" s="1457"/>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2.95" customHeight="1">
      <c r="D403" s="3" t="s">
        <v>1844</v>
      </c>
      <c r="K403" s="1457"/>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2.95" customHeight="1">
      <c r="D404" s="3" t="s">
        <v>1847</v>
      </c>
      <c r="E404" s="512"/>
      <c r="F404" s="512"/>
      <c r="G404" s="512"/>
      <c r="H404" s="512"/>
      <c r="I404" s="512"/>
      <c r="J404" s="512"/>
      <c r="K404" s="512"/>
      <c r="L404" s="512"/>
      <c r="M404" s="512"/>
      <c r="N404" s="512"/>
      <c r="O404" s="512"/>
      <c r="P404" s="512"/>
      <c r="Q404" s="512"/>
      <c r="R404" s="512"/>
      <c r="S404" s="1535" t="s">
        <v>1327</v>
      </c>
      <c r="T404" s="1535"/>
      <c r="U404" s="1535"/>
      <c r="V404" s="1535"/>
      <c r="W404" s="1535"/>
      <c r="X404" s="1535"/>
      <c r="Y404" s="1535"/>
      <c r="Z404" s="1535"/>
      <c r="AA404" s="1535"/>
      <c r="AB404" s="1535"/>
      <c r="AC404" s="1535"/>
      <c r="AD404" s="1535"/>
      <c r="AE404" s="1535"/>
      <c r="AF404" s="1535"/>
      <c r="AG404" s="1535"/>
      <c r="AH404" s="1535"/>
      <c r="AI404" s="1535"/>
      <c r="AJ404" s="1535"/>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1347</v>
      </c>
      <c r="I409" s="1541" t="s">
        <v>2657</v>
      </c>
      <c r="J409" s="1541"/>
      <c r="K409" s="1541"/>
      <c r="L409" s="1541"/>
      <c r="M409" s="1541"/>
      <c r="N409" s="1541"/>
      <c r="O409" s="1541"/>
      <c r="P409" s="1541"/>
      <c r="Q409" s="1541"/>
      <c r="R409" s="1541"/>
      <c r="S409" s="1541"/>
      <c r="T409" s="1541"/>
      <c r="U409" s="1541"/>
      <c r="V409" s="1541"/>
      <c r="W409" s="1541"/>
      <c r="X409" s="1541"/>
      <c r="Y409" s="1541"/>
      <c r="Z409" s="1541"/>
      <c r="AA409" s="1541"/>
      <c r="AB409" s="1541"/>
      <c r="AC409" s="1541"/>
      <c r="AD409" s="1541"/>
      <c r="AE409" s="1541"/>
    </row>
    <row r="410" spans="1:36" ht="12.95" customHeight="1">
      <c r="E410" t="s">
        <v>107</v>
      </c>
      <c r="R410" s="1373" t="s">
        <v>601</v>
      </c>
      <c r="S410" s="1373"/>
      <c r="T410" t="s">
        <v>580</v>
      </c>
      <c r="AD410" s="1435">
        <v>0</v>
      </c>
      <c r="AE410" s="1435"/>
    </row>
    <row r="411" spans="1:36" ht="12.95" customHeight="1">
      <c r="E411" t="s">
        <v>108</v>
      </c>
      <c r="R411" s="1373" t="s">
        <v>555</v>
      </c>
      <c r="S411" s="1373"/>
      <c r="T411" t="s">
        <v>580</v>
      </c>
      <c r="AD411" s="1435">
        <v>3</v>
      </c>
      <c r="AE411" s="1435"/>
    </row>
    <row r="412" spans="1:36" ht="12.95" customHeight="1">
      <c r="E412" t="s">
        <v>109</v>
      </c>
      <c r="S412" s="1373" t="s">
        <v>601</v>
      </c>
      <c r="T412" s="1373"/>
    </row>
    <row r="413" spans="1:36" ht="12.95" customHeight="1">
      <c r="E413" t="s">
        <v>171</v>
      </c>
      <c r="H413" s="1718" t="s">
        <v>2658</v>
      </c>
      <c r="I413" s="1718"/>
      <c r="J413" s="1718"/>
      <c r="K413" s="1718"/>
      <c r="L413" s="1718"/>
      <c r="M413" s="1718"/>
      <c r="N413" s="1718"/>
      <c r="O413" s="1718"/>
      <c r="P413" s="1718"/>
      <c r="Q413" s="1718"/>
      <c r="R413" s="1718"/>
      <c r="S413" s="1718"/>
      <c r="T413" s="1718"/>
      <c r="U413" s="1718"/>
      <c r="V413" s="1718"/>
      <c r="W413" s="1718"/>
      <c r="X413" s="1718"/>
      <c r="Y413" s="1718"/>
      <c r="Z413" s="1718"/>
      <c r="AA413" s="1718"/>
      <c r="AB413" s="1718"/>
      <c r="AC413" s="1718"/>
      <c r="AD413" s="1718"/>
      <c r="AE413" s="1718"/>
    </row>
    <row r="414" spans="1:36" ht="12.95" customHeight="1">
      <c r="H414" s="1719"/>
      <c r="I414" s="1719"/>
      <c r="J414" s="1719"/>
      <c r="K414" s="1719"/>
      <c r="L414" s="1719"/>
      <c r="M414" s="1719"/>
      <c r="N414" s="1719"/>
      <c r="O414" s="1719"/>
      <c r="P414" s="1719"/>
      <c r="Q414" s="1719"/>
      <c r="R414" s="1719"/>
      <c r="S414" s="1719"/>
      <c r="T414" s="1719"/>
      <c r="U414" s="1719"/>
      <c r="V414" s="1719"/>
      <c r="W414" s="1719"/>
      <c r="X414" s="1719"/>
      <c r="Y414" s="1719"/>
      <c r="Z414" s="1719"/>
      <c r="AA414" s="1719"/>
      <c r="AB414" s="1719"/>
      <c r="AC414" s="1719"/>
      <c r="AD414" s="1719"/>
      <c r="AE414" s="1719"/>
    </row>
    <row r="415" spans="1:36" ht="12.95" customHeight="1"/>
    <row r="416" spans="1:36" ht="12.95" customHeight="1">
      <c r="A416" s="2" t="s">
        <v>600</v>
      </c>
      <c r="B416" s="2"/>
      <c r="C416" s="2"/>
      <c r="D416" s="2" t="s">
        <v>115</v>
      </c>
      <c r="AF416" s="2" t="s">
        <v>997</v>
      </c>
    </row>
    <row r="417" spans="1:39" ht="12.95" customHeight="1">
      <c r="E417" s="1442"/>
      <c r="F417" s="1442"/>
      <c r="G417" s="1442"/>
      <c r="H417" s="13" t="s">
        <v>116</v>
      </c>
      <c r="I417" s="1442"/>
      <c r="J417" s="1442"/>
      <c r="K417" s="1442"/>
      <c r="L417" t="s">
        <v>117</v>
      </c>
      <c r="N417" s="27" t="s">
        <v>585</v>
      </c>
      <c r="P417" s="1601">
        <v>3.3</v>
      </c>
      <c r="Q417" s="1601"/>
      <c r="R417" s="1601"/>
      <c r="S417" t="s">
        <v>118</v>
      </c>
      <c r="W417" s="1364">
        <f>IF(E417&gt;0,(E417*I417),(P417*43560))</f>
        <v>143748</v>
      </c>
      <c r="X417" s="1364"/>
      <c r="Y417" s="1364"/>
      <c r="Z417" t="s">
        <v>119</v>
      </c>
      <c r="AF417" s="1534">
        <f>IF(P417&gt;0,(AG436/P417),(AG436/(W417/43560)))</f>
        <v>21.212121212121215</v>
      </c>
      <c r="AG417" s="1534"/>
      <c r="AH417" s="1534"/>
      <c r="AM417" s="3"/>
    </row>
    <row r="418" spans="1:39" ht="12.95" customHeight="1">
      <c r="E418" t="s">
        <v>51</v>
      </c>
    </row>
    <row r="419" spans="1:39" ht="12.95" customHeight="1">
      <c r="E419" s="1531"/>
      <c r="F419" s="1531"/>
      <c r="G419" s="1531"/>
      <c r="H419" s="1531"/>
      <c r="I419" s="1531"/>
      <c r="J419" s="1531"/>
      <c r="K419" s="1531"/>
      <c r="L419" s="1531"/>
      <c r="M419" s="1531"/>
      <c r="N419" s="1531"/>
      <c r="O419" s="1531"/>
      <c r="P419" s="1531"/>
      <c r="Q419" s="1531"/>
      <c r="R419" s="1531"/>
      <c r="S419" s="1531"/>
      <c r="T419" s="1531"/>
      <c r="U419" s="1531"/>
      <c r="V419" s="1531"/>
      <c r="W419" s="1531"/>
      <c r="X419" s="1531"/>
      <c r="Y419" s="1531"/>
      <c r="Z419" s="1531"/>
      <c r="AA419" s="1531"/>
      <c r="AB419" s="1531"/>
      <c r="AC419" s="1531"/>
      <c r="AD419" s="1531"/>
      <c r="AE419" s="1531"/>
      <c r="AF419" s="1531"/>
      <c r="AG419" s="1531"/>
      <c r="AH419" s="1531"/>
      <c r="AI419" s="1531"/>
      <c r="AJ419" s="1531"/>
    </row>
    <row r="420" spans="1:39" ht="12.95" customHeight="1">
      <c r="E420" s="118" t="s">
        <v>1997</v>
      </c>
      <c r="F420" s="1050"/>
      <c r="G420" s="1050"/>
      <c r="H420" s="1050"/>
      <c r="I420" s="1727"/>
      <c r="J420" s="1727"/>
      <c r="K420" s="1727"/>
      <c r="L420" s="1050"/>
      <c r="M420" s="118"/>
      <c r="N420" s="1050"/>
      <c r="O420" s="1050"/>
      <c r="P420" s="1751" t="e">
        <f>(CS623+CS631+CS647)/I420</f>
        <v>#DIV/0!</v>
      </c>
      <c r="Q420" s="1751"/>
      <c r="R420" s="1751"/>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6</v>
      </c>
      <c r="Q423" s="1373"/>
      <c r="S423" t="s">
        <v>191</v>
      </c>
      <c r="AE423" s="1373">
        <v>5</v>
      </c>
      <c r="AF423" s="1373"/>
    </row>
    <row r="424" spans="1:39" ht="12.95" customHeight="1">
      <c r="E424" t="s">
        <v>192</v>
      </c>
      <c r="P424" s="1373">
        <v>1</v>
      </c>
      <c r="Q424" s="1373"/>
      <c r="S424" t="s">
        <v>132</v>
      </c>
      <c r="AE424" s="1373" t="s">
        <v>601</v>
      </c>
      <c r="AF424" s="1373"/>
    </row>
    <row r="425" spans="1:39" ht="12.95" customHeight="1">
      <c r="F425" s="28" t="s">
        <v>133</v>
      </c>
    </row>
    <row r="426" spans="1:39" ht="12.95"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618</v>
      </c>
      <c r="P428" s="1"/>
      <c r="Q428" s="1373" t="s">
        <v>555</v>
      </c>
      <c r="R428" s="1373"/>
    </row>
    <row r="429" spans="1:39" ht="12.95" customHeight="1">
      <c r="F429" t="s">
        <v>619</v>
      </c>
      <c r="P429" s="1"/>
      <c r="Q429" s="1"/>
      <c r="AF429" s="1373" t="s">
        <v>601</v>
      </c>
      <c r="AG429" s="1573"/>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70</v>
      </c>
      <c r="AH436" s="1357"/>
      <c r="AI436" s="1357"/>
      <c r="AJ436" s="1357"/>
    </row>
    <row r="437" spans="1:110" ht="12.9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69</v>
      </c>
      <c r="AH438" s="1357"/>
      <c r="AI438" s="1357"/>
      <c r="AJ438" s="1357"/>
    </row>
    <row r="439" spans="1:110" ht="12.9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69</v>
      </c>
      <c r="AH439" s="1357"/>
      <c r="AI439" s="1357"/>
      <c r="AJ439" s="1357"/>
    </row>
    <row r="440" spans="1:110" ht="12.9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62530</v>
      </c>
      <c r="AH441" s="1358"/>
      <c r="AI441" s="1358"/>
      <c r="AJ441" s="1358"/>
    </row>
    <row r="442" spans="1:110" ht="12.9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62530</v>
      </c>
      <c r="AH442" s="1358"/>
      <c r="AI442" s="1358"/>
      <c r="AJ442" s="1358"/>
    </row>
    <row r="443" spans="1:110" ht="12.9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2508</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2230</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946</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6" t="s">
        <v>1100</v>
      </c>
      <c r="E449" s="1527"/>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528"/>
      <c r="AG449" s="1463">
        <f>AG441+AG445+AG447+AG448</f>
        <v>65706</v>
      </c>
      <c r="AH449" s="1463"/>
      <c r="AI449" s="1463"/>
      <c r="AJ449" s="14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9" t="s">
        <v>1349</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29"/>
      <c r="AG450" s="1529"/>
      <c r="AH450" s="1529"/>
      <c r="AI450" s="1529"/>
      <c r="AJ450" s="152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629097.38571428566</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629097.38571428566</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534992.47142857139</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2" t="str">
        <f>IFERROR(IF(AC453&gt;650000,"Please provide a justification of cost per unit in Tab 12 for all projects with per unit costs of greater than $650,000.",""),"")</f>
        <v/>
      </c>
      <c r="G456" s="1532"/>
      <c r="H456" s="1532"/>
      <c r="I456" s="1532"/>
      <c r="J456" s="1532"/>
      <c r="K456" s="1532"/>
      <c r="L456" s="1532"/>
      <c r="M456" s="1532"/>
      <c r="N456" s="1532"/>
      <c r="O456" s="1532"/>
      <c r="P456" s="1532"/>
      <c r="Q456" s="1532"/>
      <c r="R456" s="1532"/>
      <c r="S456" s="1532"/>
      <c r="T456" s="1532"/>
      <c r="U456" s="1532"/>
      <c r="V456" s="1532"/>
      <c r="W456" s="1532"/>
      <c r="X456" s="1532"/>
      <c r="Y456" s="1532"/>
      <c r="Z456" s="1532"/>
      <c r="AA456" s="1532"/>
      <c r="AB456" s="153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2"/>
      <c r="G457" s="1532"/>
      <c r="H457" s="1532"/>
      <c r="I457" s="1532"/>
      <c r="J457" s="1532"/>
      <c r="K457" s="1532"/>
      <c r="L457" s="1532"/>
      <c r="M457" s="1532"/>
      <c r="N457" s="1532"/>
      <c r="O457" s="1532"/>
      <c r="P457" s="1532"/>
      <c r="Q457" s="1532"/>
      <c r="R457" s="1532"/>
      <c r="S457" s="1532"/>
      <c r="T457" s="1532"/>
      <c r="U457" s="1532"/>
      <c r="V457" s="1532"/>
      <c r="W457" s="1532"/>
      <c r="X457" s="1532"/>
      <c r="Y457" s="1532"/>
      <c r="Z457" s="1532"/>
      <c r="AA457" s="1532"/>
      <c r="AB457" s="153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8" t="s">
        <v>2523</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8"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0"/>
      <c r="H472" s="1461"/>
      <c r="I472" s="1461"/>
      <c r="J472" s="1461"/>
      <c r="K472" s="1461"/>
      <c r="L472" s="1461"/>
      <c r="M472" s="1461"/>
      <c r="N472" s="1461"/>
      <c r="O472" s="1461"/>
      <c r="P472" s="1461"/>
      <c r="Q472" s="1461"/>
      <c r="R472" s="1461"/>
      <c r="S472" s="1461"/>
      <c r="T472" s="1461"/>
      <c r="U472" s="1461"/>
      <c r="V472" s="1462"/>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2659</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2660</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2698</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36" t="s">
        <v>167</v>
      </c>
      <c r="T487" s="1737"/>
      <c r="U487" s="1737"/>
      <c r="V487" s="1737"/>
      <c r="W487" s="1737"/>
      <c r="X487" s="1737"/>
      <c r="Y487" s="1737"/>
      <c r="Z487" s="1737"/>
      <c r="AA487" s="1737"/>
      <c r="AB487" s="1737"/>
      <c r="AC487" s="1737"/>
      <c r="AD487" s="1737"/>
      <c r="AE487" s="1737"/>
      <c r="AF487" s="1737"/>
      <c r="AG487" s="1737"/>
      <c r="AH487" s="1737"/>
      <c r="AI487" s="1737"/>
      <c r="AJ487" s="1737"/>
      <c r="AK487" s="173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39"/>
      <c r="T488" s="1444"/>
      <c r="U488" s="1444"/>
      <c r="V488" s="1444"/>
      <c r="W488" s="1444"/>
      <c r="X488" s="1444"/>
      <c r="Y488" s="1444"/>
      <c r="Z488" s="1444"/>
      <c r="AA488" s="1444"/>
      <c r="AB488" s="1444"/>
      <c r="AC488" s="1444"/>
      <c r="AD488" s="1444"/>
      <c r="AE488" s="1444"/>
      <c r="AF488" s="1444"/>
      <c r="AG488" s="1444"/>
      <c r="AH488" s="1444"/>
      <c r="AI488" s="1444"/>
      <c r="AJ488" s="1444"/>
      <c r="AK488" s="174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4" t="s">
        <v>679</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2699</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2700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t="s">
        <v>2701</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8">
        <v>38</v>
      </c>
      <c r="N493" s="1429"/>
      <c r="O493" s="1429"/>
      <c r="P493" s="1430"/>
      <c r="Q493" s="121" t="s">
        <v>1852</v>
      </c>
      <c r="R493" s="5"/>
      <c r="S493" s="5"/>
      <c r="T493" s="5"/>
      <c r="U493" s="5"/>
      <c r="V493" s="5"/>
      <c r="W493" s="5"/>
      <c r="X493" s="5"/>
      <c r="Y493" s="5"/>
      <c r="Z493" s="5"/>
      <c r="AA493" s="5"/>
      <c r="AB493" s="5"/>
      <c r="AC493" s="5"/>
      <c r="AD493" s="5"/>
      <c r="AE493" s="5"/>
      <c r="AF493" s="5"/>
      <c r="AG493" s="5"/>
      <c r="AH493" s="1428">
        <v>71</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v>4</v>
      </c>
      <c r="AD499" s="1378"/>
      <c r="AE499" s="1378"/>
      <c r="AF499" s="1378"/>
      <c r="AG499" s="13" t="s">
        <v>405</v>
      </c>
      <c r="AH499" s="1355">
        <v>2022</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11</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v>11</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449">
        <v>11</v>
      </c>
      <c r="AD505" s="1450"/>
      <c r="AE505" s="1450"/>
      <c r="AF505" s="145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555</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v>2</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1</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1" t="s">
        <v>404</v>
      </c>
      <c r="AD511" s="1452"/>
      <c r="AE511" s="1452"/>
      <c r="AF511" s="1452"/>
      <c r="AG511" s="38" t="s">
        <v>405</v>
      </c>
      <c r="AH511" s="1452" t="s">
        <v>406</v>
      </c>
      <c r="AI511" s="1452"/>
      <c r="AJ511" s="1452"/>
      <c r="AK511" s="1453"/>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2</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2</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8</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449">
        <v>2</v>
      </c>
      <c r="AD515" s="1450"/>
      <c r="AE515" s="1450"/>
      <c r="AF515" s="145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2</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8</v>
      </c>
      <c r="AD517" s="1378"/>
      <c r="AE517" s="1378"/>
      <c r="AF517" s="1378"/>
      <c r="AG517" s="38" t="s">
        <v>405</v>
      </c>
      <c r="AH517" s="1355">
        <v>2023</v>
      </c>
      <c r="AI517" s="1355"/>
      <c r="AJ517" s="1355"/>
      <c r="AK517" s="1356"/>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2702</v>
      </c>
      <c r="P518" s="1407"/>
      <c r="Q518" s="1407"/>
      <c r="R518" s="1407"/>
      <c r="S518" s="1407"/>
      <c r="T518" s="1407"/>
      <c r="U518" s="1407"/>
      <c r="V518" s="1407"/>
      <c r="W518" s="1407"/>
      <c r="X518" s="1407"/>
      <c r="Y518" s="1407"/>
      <c r="Z518" s="1407"/>
      <c r="AA518" s="1407"/>
      <c r="AB518" s="58"/>
      <c r="AC518" s="1449" t="s">
        <v>601</v>
      </c>
      <c r="AD518" s="1450"/>
      <c r="AE518" s="1450"/>
      <c r="AF518" s="1450"/>
      <c r="AG518" s="129" t="s">
        <v>405</v>
      </c>
      <c r="AH518" s="1355"/>
      <c r="AI518" s="1355"/>
      <c r="AJ518" s="1355"/>
      <c r="AK518" s="1356"/>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v>10</v>
      </c>
      <c r="AD519" s="1378"/>
      <c r="AE519" s="1378"/>
      <c r="AF519" s="1378"/>
      <c r="AG519" s="13" t="s">
        <v>405</v>
      </c>
      <c r="AH519" s="1355">
        <v>2021</v>
      </c>
      <c r="AI519" s="1355"/>
      <c r="AJ519" s="1355"/>
      <c r="AK519" s="1356"/>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11</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t="s">
        <v>601</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v>12</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v>7</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v>7</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12</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2527</v>
      </c>
      <c r="C549" s="1375"/>
      <c r="D549" s="1375"/>
      <c r="E549" s="1375"/>
      <c r="F549" s="1375"/>
      <c r="G549" s="1375"/>
      <c r="H549" s="1375"/>
      <c r="I549" s="1375"/>
      <c r="J549" s="1375"/>
      <c r="K549" s="1375"/>
      <c r="L549" s="1376"/>
      <c r="M549" s="1518" t="s">
        <v>2528</v>
      </c>
      <c r="N549" s="1518"/>
      <c r="O549" s="1518"/>
      <c r="P549" s="1518"/>
      <c r="Q549" s="1374" t="s">
        <v>2554</v>
      </c>
      <c r="R549" s="1375"/>
      <c r="S549" s="1376"/>
      <c r="T549" s="1374" t="s">
        <v>2555</v>
      </c>
      <c r="U549" s="1375"/>
      <c r="V549" s="1376"/>
      <c r="W549" s="1374" t="s">
        <v>463</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4" t="s">
        <v>2703</v>
      </c>
      <c r="D550" s="1474"/>
      <c r="E550" s="1474"/>
      <c r="F550" s="1474"/>
      <c r="G550" s="1474"/>
      <c r="H550" s="1474"/>
      <c r="I550" s="1474"/>
      <c r="J550" s="1474"/>
      <c r="K550" s="1474"/>
      <c r="L550" s="1474"/>
      <c r="M550" s="1474" t="s">
        <v>2544</v>
      </c>
      <c r="N550" s="1474"/>
      <c r="O550" s="1474"/>
      <c r="P550" s="1474"/>
      <c r="Q550" s="1392">
        <v>480</v>
      </c>
      <c r="R550" s="1392"/>
      <c r="S550" s="1393"/>
      <c r="T550" s="1391">
        <v>450</v>
      </c>
      <c r="U550" s="1392"/>
      <c r="V550" s="1393"/>
      <c r="W550" s="1388">
        <v>7.4999999999999997E-2</v>
      </c>
      <c r="X550" s="1389"/>
      <c r="Y550" s="1390"/>
      <c r="Z550" s="1431" t="s">
        <v>2704</v>
      </c>
      <c r="AA550" s="1431"/>
      <c r="AB550" s="1431"/>
      <c r="AC550" s="1431"/>
      <c r="AD550" s="1431"/>
      <c r="AE550" s="1425">
        <v>1</v>
      </c>
      <c r="AF550" s="1426"/>
      <c r="AG550" s="1426"/>
      <c r="AH550" s="1427"/>
      <c r="AI550" s="1446"/>
      <c r="AJ550" s="1447"/>
      <c r="AK550" s="1447"/>
      <c r="AL550" s="1448"/>
      <c r="AM550" s="1368">
        <v>20000000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5" t="s">
        <v>2705</v>
      </c>
      <c r="D551" s="1475"/>
      <c r="E551" s="1475"/>
      <c r="F551" s="1475"/>
      <c r="G551" s="1475"/>
      <c r="H551" s="1475"/>
      <c r="I551" s="1475"/>
      <c r="J551" s="1475"/>
      <c r="K551" s="1475"/>
      <c r="L551" s="1475"/>
      <c r="M551" s="1474" t="s">
        <v>2543</v>
      </c>
      <c r="N551" s="1474"/>
      <c r="O551" s="1474"/>
      <c r="P551" s="1474"/>
      <c r="Q551" s="1391">
        <v>30</v>
      </c>
      <c r="R551" s="1392"/>
      <c r="S551" s="1393"/>
      <c r="T551" s="1391"/>
      <c r="U551" s="1392"/>
      <c r="V551" s="1393"/>
      <c r="W551" s="1388">
        <v>7.4999999999999997E-2</v>
      </c>
      <c r="X551" s="1389"/>
      <c r="Y551" s="1390"/>
      <c r="Z551" s="1431" t="s">
        <v>2704</v>
      </c>
      <c r="AA551" s="1431"/>
      <c r="AB551" s="1431"/>
      <c r="AC551" s="1431"/>
      <c r="AD551" s="1431"/>
      <c r="AE551" s="1425">
        <v>2</v>
      </c>
      <c r="AF551" s="1426"/>
      <c r="AG551" s="1426"/>
      <c r="AH551" s="1427"/>
      <c r="AI551" s="1446"/>
      <c r="AJ551" s="1447"/>
      <c r="AK551" s="1447"/>
      <c r="AL551" s="1448"/>
      <c r="AM551" s="1368">
        <v>18700000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5" t="s">
        <v>2706</v>
      </c>
      <c r="D552" s="1475"/>
      <c r="E552" s="1475"/>
      <c r="F552" s="1475"/>
      <c r="G552" s="1475"/>
      <c r="H552" s="1475"/>
      <c r="I552" s="1475"/>
      <c r="J552" s="1475"/>
      <c r="K552" s="1475"/>
      <c r="L552" s="1475"/>
      <c r="M552" s="1474" t="s">
        <v>2530</v>
      </c>
      <c r="N552" s="1474"/>
      <c r="O552" s="1474"/>
      <c r="P552" s="1474"/>
      <c r="Q552" s="1391"/>
      <c r="R552" s="1392"/>
      <c r="S552" s="1393"/>
      <c r="T552" s="1391"/>
      <c r="U552" s="1392"/>
      <c r="V552" s="1393"/>
      <c r="W552" s="1388"/>
      <c r="X552" s="1389"/>
      <c r="Y552" s="1390"/>
      <c r="Z552" s="1431" t="s">
        <v>601</v>
      </c>
      <c r="AA552" s="1431"/>
      <c r="AB552" s="1431"/>
      <c r="AC552" s="1431"/>
      <c r="AD552" s="1431"/>
      <c r="AE552" s="1425"/>
      <c r="AF552" s="1426"/>
      <c r="AG552" s="1426"/>
      <c r="AH552" s="1427"/>
      <c r="AI552" s="1446"/>
      <c r="AJ552" s="1447"/>
      <c r="AK552" s="1447"/>
      <c r="AL552" s="1448"/>
      <c r="AM552" s="1368">
        <v>2080704</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5" t="s">
        <v>2707</v>
      </c>
      <c r="D553" s="1475"/>
      <c r="E553" s="1475"/>
      <c r="F553" s="1475"/>
      <c r="G553" s="1475"/>
      <c r="H553" s="1475"/>
      <c r="I553" s="1475"/>
      <c r="J553" s="1475"/>
      <c r="K553" s="1475"/>
      <c r="L553" s="1475"/>
      <c r="M553" s="1474" t="s">
        <v>2535</v>
      </c>
      <c r="N553" s="1474"/>
      <c r="O553" s="1474"/>
      <c r="P553" s="1474"/>
      <c r="Q553" s="1391"/>
      <c r="R553" s="1392"/>
      <c r="S553" s="1393"/>
      <c r="T553" s="1391"/>
      <c r="U553" s="1392"/>
      <c r="V553" s="1393"/>
      <c r="W553" s="1388"/>
      <c r="X553" s="1389"/>
      <c r="Y553" s="1390"/>
      <c r="Z553" s="1431" t="s">
        <v>601</v>
      </c>
      <c r="AA553" s="1431"/>
      <c r="AB553" s="1431"/>
      <c r="AC553" s="1431"/>
      <c r="AD553" s="1431"/>
      <c r="AE553" s="1425"/>
      <c r="AF553" s="1426"/>
      <c r="AG553" s="1426"/>
      <c r="AH553" s="1427"/>
      <c r="AI553" s="1446"/>
      <c r="AJ553" s="1447"/>
      <c r="AK553" s="1447"/>
      <c r="AL553" s="1448"/>
      <c r="AM553" s="1368">
        <v>2413113</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5" t="s">
        <v>2708</v>
      </c>
      <c r="D554" s="1475"/>
      <c r="E554" s="1475"/>
      <c r="F554" s="1475"/>
      <c r="G554" s="1475"/>
      <c r="H554" s="1475"/>
      <c r="I554" s="1475"/>
      <c r="J554" s="1475"/>
      <c r="K554" s="1475"/>
      <c r="L554" s="1475"/>
      <c r="M554" s="1474" t="s">
        <v>2535</v>
      </c>
      <c r="N554" s="1474"/>
      <c r="O554" s="1474"/>
      <c r="P554" s="1474"/>
      <c r="Q554" s="1391"/>
      <c r="R554" s="1392"/>
      <c r="S554" s="1393"/>
      <c r="T554" s="1391"/>
      <c r="U554" s="1392"/>
      <c r="V554" s="1393"/>
      <c r="W554" s="1388"/>
      <c r="X554" s="1389"/>
      <c r="Y554" s="1390"/>
      <c r="Z554" s="1431" t="s">
        <v>601</v>
      </c>
      <c r="AA554" s="1431"/>
      <c r="AB554" s="1431"/>
      <c r="AC554" s="1431"/>
      <c r="AD554" s="1431"/>
      <c r="AE554" s="1425"/>
      <c r="AF554" s="1426"/>
      <c r="AG554" s="1426"/>
      <c r="AH554" s="1427"/>
      <c r="AI554" s="1446"/>
      <c r="AJ554" s="1447"/>
      <c r="AK554" s="1447"/>
      <c r="AL554" s="1448"/>
      <c r="AM554" s="1368">
        <v>43000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5" t="s">
        <v>1922</v>
      </c>
      <c r="D555" s="1475"/>
      <c r="E555" s="1475"/>
      <c r="F555" s="1475"/>
      <c r="G555" s="1475"/>
      <c r="H555" s="1475"/>
      <c r="I555" s="1475"/>
      <c r="J555" s="1475"/>
      <c r="K555" s="1475"/>
      <c r="L555" s="1475"/>
      <c r="M555" s="1474" t="s">
        <v>2531</v>
      </c>
      <c r="N555" s="1474"/>
      <c r="O555" s="1474"/>
      <c r="P555" s="1474"/>
      <c r="Q555" s="1391"/>
      <c r="R555" s="1392"/>
      <c r="S555" s="1393"/>
      <c r="T555" s="1391"/>
      <c r="U555" s="1392"/>
      <c r="V555" s="1393"/>
      <c r="W555" s="1388"/>
      <c r="X555" s="1389"/>
      <c r="Y555" s="1390"/>
      <c r="Z555" s="1431" t="s">
        <v>601</v>
      </c>
      <c r="AA555" s="1431"/>
      <c r="AB555" s="1431"/>
      <c r="AC555" s="1431"/>
      <c r="AD555" s="1431"/>
      <c r="AE555" s="1425"/>
      <c r="AF555" s="1426"/>
      <c r="AG555" s="1426"/>
      <c r="AH555" s="1427"/>
      <c r="AI555" s="1446"/>
      <c r="AJ555" s="1447"/>
      <c r="AK555" s="1447"/>
      <c r="AL555" s="1448"/>
      <c r="AM555" s="1368">
        <v>800000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5"/>
      <c r="D556" s="1475"/>
      <c r="E556" s="1475"/>
      <c r="F556" s="1475"/>
      <c r="G556" s="1475"/>
      <c r="H556" s="1475"/>
      <c r="I556" s="1475"/>
      <c r="J556" s="1475"/>
      <c r="K556" s="1475"/>
      <c r="L556" s="1475"/>
      <c r="M556" s="1474" t="s">
        <v>1327</v>
      </c>
      <c r="N556" s="1474"/>
      <c r="O556" s="1474"/>
      <c r="P556" s="1474"/>
      <c r="Q556" s="1391"/>
      <c r="R556" s="1392"/>
      <c r="S556" s="1393"/>
      <c r="T556" s="1391"/>
      <c r="U556" s="1392"/>
      <c r="V556" s="1393"/>
      <c r="W556" s="1388"/>
      <c r="X556" s="1389"/>
      <c r="Y556" s="1390"/>
      <c r="Z556" s="1431" t="s">
        <v>1327</v>
      </c>
      <c r="AA556" s="1431"/>
      <c r="AB556" s="1431"/>
      <c r="AC556" s="1431"/>
      <c r="AD556" s="1431"/>
      <c r="AE556" s="1425"/>
      <c r="AF556" s="1426"/>
      <c r="AG556" s="1426"/>
      <c r="AH556" s="1427"/>
      <c r="AI556" s="1446"/>
      <c r="AJ556" s="1447"/>
      <c r="AK556" s="1447"/>
      <c r="AL556" s="1448"/>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5"/>
      <c r="D557" s="1475"/>
      <c r="E557" s="1475"/>
      <c r="F557" s="1475"/>
      <c r="G557" s="1475"/>
      <c r="H557" s="1475"/>
      <c r="I557" s="1475"/>
      <c r="J557" s="1475"/>
      <c r="K557" s="1475"/>
      <c r="L557" s="1475"/>
      <c r="M557" s="1474" t="s">
        <v>1327</v>
      </c>
      <c r="N557" s="1474"/>
      <c r="O557" s="1474"/>
      <c r="P557" s="1474"/>
      <c r="Q557" s="1391"/>
      <c r="R557" s="1392"/>
      <c r="S557" s="1393"/>
      <c r="T557" s="1391"/>
      <c r="U557" s="1392"/>
      <c r="V557" s="1393"/>
      <c r="W557" s="1388"/>
      <c r="X557" s="1389"/>
      <c r="Y557" s="1390"/>
      <c r="Z557" s="1431" t="s">
        <v>1327</v>
      </c>
      <c r="AA557" s="1431"/>
      <c r="AB557" s="1431"/>
      <c r="AC557" s="1431"/>
      <c r="AD557" s="1431"/>
      <c r="AE557" s="1425"/>
      <c r="AF557" s="1426"/>
      <c r="AG557" s="1426"/>
      <c r="AH557" s="1427"/>
      <c r="AI557" s="1446"/>
      <c r="AJ557" s="1447"/>
      <c r="AK557" s="1447"/>
      <c r="AL557" s="1448"/>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5"/>
      <c r="D558" s="1475"/>
      <c r="E558" s="1475"/>
      <c r="F558" s="1475"/>
      <c r="G558" s="1475"/>
      <c r="H558" s="1475"/>
      <c r="I558" s="1475"/>
      <c r="J558" s="1475"/>
      <c r="K558" s="1475"/>
      <c r="L558" s="1475"/>
      <c r="M558" s="1474" t="s">
        <v>1327</v>
      </c>
      <c r="N558" s="1474"/>
      <c r="O558" s="1474"/>
      <c r="P558" s="1474"/>
      <c r="Q558" s="1391"/>
      <c r="R558" s="1392"/>
      <c r="S558" s="1393"/>
      <c r="T558" s="1391"/>
      <c r="U558" s="1392"/>
      <c r="V558" s="1393"/>
      <c r="W558" s="1388"/>
      <c r="X558" s="1389"/>
      <c r="Y558" s="1390"/>
      <c r="Z558" s="1431" t="s">
        <v>1327</v>
      </c>
      <c r="AA558" s="1431"/>
      <c r="AB558" s="1431"/>
      <c r="AC558" s="1431"/>
      <c r="AD558" s="1431"/>
      <c r="AE558" s="1425"/>
      <c r="AF558" s="1426"/>
      <c r="AG558" s="1426"/>
      <c r="AH558" s="1427"/>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5"/>
      <c r="D559" s="1475"/>
      <c r="E559" s="1475"/>
      <c r="F559" s="1475"/>
      <c r="G559" s="1475"/>
      <c r="H559" s="1475"/>
      <c r="I559" s="1475"/>
      <c r="J559" s="1475"/>
      <c r="K559" s="1475"/>
      <c r="L559" s="1475"/>
      <c r="M559" s="1474" t="s">
        <v>1327</v>
      </c>
      <c r="N559" s="1474"/>
      <c r="O559" s="1474"/>
      <c r="P559" s="1474"/>
      <c r="Q559" s="1391"/>
      <c r="R559" s="1392"/>
      <c r="S559" s="1393"/>
      <c r="T559" s="1391"/>
      <c r="U559" s="1392"/>
      <c r="V559" s="1393"/>
      <c r="W559" s="1388"/>
      <c r="X559" s="1389"/>
      <c r="Y559" s="1390"/>
      <c r="Z559" s="1431" t="s">
        <v>1327</v>
      </c>
      <c r="AA559" s="1431"/>
      <c r="AB559" s="1431"/>
      <c r="AC559" s="1431"/>
      <c r="AD559" s="1431"/>
      <c r="AE559" s="1425"/>
      <c r="AF559" s="1426"/>
      <c r="AG559" s="1426"/>
      <c r="AH559" s="1427"/>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5"/>
      <c r="D560" s="1475"/>
      <c r="E560" s="1475"/>
      <c r="F560" s="1475"/>
      <c r="G560" s="1475"/>
      <c r="H560" s="1475"/>
      <c r="I560" s="1475"/>
      <c r="J560" s="1475"/>
      <c r="K560" s="1475"/>
      <c r="L560" s="1475"/>
      <c r="M560" s="1474" t="s">
        <v>1327</v>
      </c>
      <c r="N560" s="1474"/>
      <c r="O560" s="1474"/>
      <c r="P560" s="1474"/>
      <c r="Q560" s="1391"/>
      <c r="R560" s="1392"/>
      <c r="S560" s="1393"/>
      <c r="T560" s="1391"/>
      <c r="U560" s="1392"/>
      <c r="V560" s="1393"/>
      <c r="W560" s="1388"/>
      <c r="X560" s="1389"/>
      <c r="Y560" s="1390"/>
      <c r="Z560" s="1431" t="s">
        <v>1327</v>
      </c>
      <c r="AA560" s="1431"/>
      <c r="AB560" s="1431"/>
      <c r="AC560" s="1431"/>
      <c r="AD560" s="1431"/>
      <c r="AE560" s="1425"/>
      <c r="AF560" s="1426"/>
      <c r="AG560" s="1426"/>
      <c r="AH560" s="1427"/>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5"/>
      <c r="D561" s="1475"/>
      <c r="E561" s="1475"/>
      <c r="F561" s="1475"/>
      <c r="G561" s="1475"/>
      <c r="H561" s="1475"/>
      <c r="I561" s="1475"/>
      <c r="J561" s="1475"/>
      <c r="K561" s="1475"/>
      <c r="L561" s="1475"/>
      <c r="M561" s="1474" t="s">
        <v>1327</v>
      </c>
      <c r="N561" s="1474"/>
      <c r="O561" s="1474"/>
      <c r="P561" s="1474"/>
      <c r="Q561" s="1391"/>
      <c r="R561" s="1392"/>
      <c r="S561" s="1393"/>
      <c r="T561" s="1391"/>
      <c r="U561" s="1392"/>
      <c r="V561" s="1393"/>
      <c r="W561" s="1388"/>
      <c r="X561" s="1389"/>
      <c r="Y561" s="1390"/>
      <c r="Z561" s="1431" t="s">
        <v>1327</v>
      </c>
      <c r="AA561" s="1431"/>
      <c r="AB561" s="1431"/>
      <c r="AC561" s="1431"/>
      <c r="AD561" s="1431"/>
      <c r="AE561" s="1425"/>
      <c r="AF561" s="1426"/>
      <c r="AG561" s="1426"/>
      <c r="AH561" s="1427"/>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2" t="s">
        <v>128</v>
      </c>
      <c r="C562" s="1523"/>
      <c r="D562" s="1523"/>
      <c r="E562" s="1523"/>
      <c r="F562" s="1523"/>
      <c r="G562" s="1523"/>
      <c r="H562" s="1523"/>
      <c r="I562" s="1523"/>
      <c r="J562" s="1523"/>
      <c r="K562" s="1523"/>
      <c r="L562" s="1523"/>
      <c r="M562" s="1523"/>
      <c r="N562" s="1523"/>
      <c r="O562" s="1523"/>
      <c r="P562" s="1523"/>
      <c r="Q562" s="1523"/>
      <c r="R562" s="1523"/>
      <c r="S562" s="1523"/>
      <c r="T562" s="1523"/>
      <c r="U562" s="1524"/>
      <c r="V562" s="1523"/>
      <c r="W562" s="1523"/>
      <c r="X562" s="1523"/>
      <c r="Y562" s="1523"/>
      <c r="Z562" s="1523"/>
      <c r="AA562" s="1523"/>
      <c r="AB562" s="1523"/>
      <c r="AC562" s="1523"/>
      <c r="AD562" s="1523"/>
      <c r="AE562" s="1523"/>
      <c r="AF562" s="1523"/>
      <c r="AG562" s="1523"/>
      <c r="AH562" s="1523"/>
      <c r="AI562" s="1523"/>
      <c r="AJ562" s="1523"/>
      <c r="AK562" s="1523"/>
      <c r="AL562" s="1525"/>
      <c r="AM562" s="1519">
        <f>SUM(AM550:AS561)</f>
        <v>44036817</v>
      </c>
      <c r="AN562" s="1520"/>
      <c r="AO562" s="1520"/>
      <c r="AP562" s="1520"/>
      <c r="AQ562" s="1520"/>
      <c r="AR562" s="1520"/>
      <c r="AS562" s="152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7" t="str">
        <f>C550</f>
        <v>Tax-Exempt Bonds</v>
      </c>
      <c r="H564" s="1517"/>
      <c r="I564" s="1517"/>
      <c r="J564" s="1517"/>
      <c r="K564" s="1517"/>
      <c r="L564" s="1517"/>
      <c r="M564" s="1517"/>
      <c r="N564" s="1517"/>
      <c r="O564" s="1517"/>
      <c r="P564" s="1517"/>
      <c r="Q564" s="1517"/>
      <c r="R564" s="1517"/>
      <c r="S564" s="8"/>
      <c r="T564" s="55" t="s">
        <v>114</v>
      </c>
      <c r="U564" t="s">
        <v>473</v>
      </c>
      <c r="Z564" s="1517" t="str">
        <f>C551</f>
        <v>Taxable Bridge Loan</v>
      </c>
      <c r="AA564" s="1517"/>
      <c r="AB564" s="1517"/>
      <c r="AC564" s="1517"/>
      <c r="AD564" s="1517"/>
      <c r="AE564" s="1517"/>
      <c r="AF564" s="1517"/>
      <c r="AG564" s="1517"/>
      <c r="AH564" s="1517"/>
      <c r="AI564" s="1517"/>
      <c r="AJ564" s="1517"/>
      <c r="AK564" s="151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2711</v>
      </c>
      <c r="H565" s="1394"/>
      <c r="I565" s="1394"/>
      <c r="J565" s="1394"/>
      <c r="K565" s="1394"/>
      <c r="L565" s="1394"/>
      <c r="M565" s="1394"/>
      <c r="N565" s="1394"/>
      <c r="O565" s="1394"/>
      <c r="P565" s="1394"/>
      <c r="Q565" s="1394"/>
      <c r="R565" s="1394"/>
      <c r="S565" s="8"/>
      <c r="T565" s="22"/>
      <c r="U565" t="s">
        <v>86</v>
      </c>
      <c r="Z565" s="1394" t="s">
        <v>2711</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2712</v>
      </c>
      <c r="H566" s="1394"/>
      <c r="I566" s="1394"/>
      <c r="J566" s="1394"/>
      <c r="K566" s="1394"/>
      <c r="L566" s="1394"/>
      <c r="M566" s="1394"/>
      <c r="N566" s="1394"/>
      <c r="O566" s="1394"/>
      <c r="P566" s="1394"/>
      <c r="Q566" s="1394"/>
      <c r="R566" s="1394"/>
      <c r="T566" s="22"/>
      <c r="U566" t="s">
        <v>590</v>
      </c>
      <c r="Z566" s="1366" t="s">
        <v>2712</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2713</v>
      </c>
      <c r="H567" s="1394"/>
      <c r="I567" s="1394"/>
      <c r="J567" s="1394"/>
      <c r="K567" s="1394"/>
      <c r="L567" s="1394"/>
      <c r="M567" s="1394"/>
      <c r="N567" s="1394"/>
      <c r="O567" s="1394"/>
      <c r="P567" s="1394"/>
      <c r="Q567" s="1394"/>
      <c r="R567" s="1394"/>
      <c r="S567" s="8"/>
      <c r="T567" s="22"/>
      <c r="U567" t="s">
        <v>17</v>
      </c>
      <c r="Z567" s="1366" t="s">
        <v>2713</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6">
        <v>6468440935</v>
      </c>
      <c r="H568" s="1436"/>
      <c r="I568" s="1436"/>
      <c r="J568" s="1436"/>
      <c r="K568" s="1436"/>
      <c r="L568" s="1436"/>
      <c r="O568" s="33" t="s">
        <v>208</v>
      </c>
      <c r="P568" s="1465"/>
      <c r="Q568" s="1465"/>
      <c r="R568" s="1465"/>
      <c r="S568" s="10"/>
      <c r="T568" s="22"/>
      <c r="U568" t="s">
        <v>318</v>
      </c>
      <c r="Z568" s="1436">
        <v>6468440935</v>
      </c>
      <c r="AA568" s="1436"/>
      <c r="AB568" s="1436"/>
      <c r="AC568" s="1436"/>
      <c r="AD568" s="1436"/>
      <c r="AE568" s="1436"/>
      <c r="AH568" s="33" t="s">
        <v>208</v>
      </c>
      <c r="AI568" s="1465"/>
      <c r="AJ568" s="1465"/>
      <c r="AK568" s="14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2714</v>
      </c>
      <c r="I569" s="1394"/>
      <c r="J569" s="1394"/>
      <c r="K569" s="1394"/>
      <c r="L569" s="1394"/>
      <c r="M569" s="1394"/>
      <c r="N569" s="1394"/>
      <c r="O569" s="1394"/>
      <c r="P569" s="1394"/>
      <c r="Q569" s="1394"/>
      <c r="R569" s="1394"/>
      <c r="S569" s="8"/>
      <c r="T569" s="22"/>
      <c r="U569" t="s">
        <v>18</v>
      </c>
      <c r="AA569" s="1394" t="s">
        <v>2715</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33"/>
      <c r="N570" s="1533"/>
      <c r="O570" s="1533"/>
      <c r="P570" s="1533"/>
      <c r="Q570" s="1533"/>
      <c r="R570" s="1533"/>
      <c r="S570" s="8"/>
      <c r="T570" s="22"/>
      <c r="U570" s="349" t="s">
        <v>1328</v>
      </c>
      <c r="AA570" s="8"/>
      <c r="AB570" s="8"/>
      <c r="AC570" s="8"/>
      <c r="AD570" s="8"/>
      <c r="AE570" s="8"/>
      <c r="AF570" s="1533"/>
      <c r="AG570" s="1533"/>
      <c r="AH570" s="1533"/>
      <c r="AI570" s="1533"/>
      <c r="AJ570" s="1533"/>
      <c r="AK570" s="15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7" t="str">
        <f>C552</f>
        <v>Deferred Costs</v>
      </c>
      <c r="H573" s="1517"/>
      <c r="I573" s="1517"/>
      <c r="J573" s="1517"/>
      <c r="K573" s="1517"/>
      <c r="L573" s="1517"/>
      <c r="M573" s="1517"/>
      <c r="N573" s="1517"/>
      <c r="O573" s="1517"/>
      <c r="P573" s="1517"/>
      <c r="Q573" s="1517"/>
      <c r="R573" s="1517"/>
      <c r="T573" s="55" t="s">
        <v>591</v>
      </c>
      <c r="U573" t="s">
        <v>473</v>
      </c>
      <c r="Z573" s="1517" t="str">
        <f>C553</f>
        <v>Tax Credit Equity</v>
      </c>
      <c r="AA573" s="1517"/>
      <c r="AB573" s="1517"/>
      <c r="AC573" s="1517"/>
      <c r="AD573" s="1517"/>
      <c r="AE573" s="1517"/>
      <c r="AF573" s="1517"/>
      <c r="AG573" s="1517"/>
      <c r="AH573" s="1517"/>
      <c r="AI573" s="1517"/>
      <c r="AJ573" s="1517"/>
      <c r="AK573" s="151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2637</v>
      </c>
      <c r="H574" s="1394"/>
      <c r="I574" s="1394"/>
      <c r="J574" s="1394"/>
      <c r="K574" s="1394"/>
      <c r="L574" s="1394"/>
      <c r="M574" s="1394"/>
      <c r="N574" s="1394"/>
      <c r="O574" s="1394"/>
      <c r="P574" s="1394"/>
      <c r="Q574" s="1394"/>
      <c r="R574" s="1394"/>
      <c r="T574" s="22"/>
      <c r="U574" t="s">
        <v>86</v>
      </c>
      <c r="Z574" s="1394" t="s">
        <v>2716</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2662</v>
      </c>
      <c r="H575" s="1366"/>
      <c r="I575" s="1366"/>
      <c r="J575" s="1366"/>
      <c r="K575" s="1366"/>
      <c r="L575" s="1366"/>
      <c r="M575" s="1366"/>
      <c r="N575" s="1366"/>
      <c r="O575" s="1366"/>
      <c r="P575" s="1366"/>
      <c r="Q575" s="1366"/>
      <c r="R575" s="1366"/>
      <c r="T575" s="22"/>
      <c r="U575" t="s">
        <v>590</v>
      </c>
      <c r="Z575" s="1366" t="s">
        <v>2717</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2640</v>
      </c>
      <c r="H576" s="1366"/>
      <c r="I576" s="1366"/>
      <c r="J576" s="1366"/>
      <c r="K576" s="1366"/>
      <c r="L576" s="1366"/>
      <c r="M576" s="1366"/>
      <c r="N576" s="1366"/>
      <c r="O576" s="1366"/>
      <c r="P576" s="1366"/>
      <c r="Q576" s="1366"/>
      <c r="R576" s="1366"/>
      <c r="T576" s="22"/>
      <c r="U576" t="s">
        <v>17</v>
      </c>
      <c r="Z576" s="1366" t="s">
        <v>2718</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6">
        <v>5592923385</v>
      </c>
      <c r="H577" s="1436"/>
      <c r="I577" s="1436"/>
      <c r="J577" s="1436"/>
      <c r="K577" s="1436"/>
      <c r="L577" s="1436"/>
      <c r="O577" s="33" t="s">
        <v>208</v>
      </c>
      <c r="P577" s="1465"/>
      <c r="Q577" s="1465"/>
      <c r="R577" s="1465"/>
      <c r="T577" s="22"/>
      <c r="U577" t="s">
        <v>318</v>
      </c>
      <c r="Z577" s="1436">
        <v>9494381056</v>
      </c>
      <c r="AA577" s="1436"/>
      <c r="AB577" s="1436"/>
      <c r="AC577" s="1436"/>
      <c r="AD577" s="1436"/>
      <c r="AE577" s="1436"/>
      <c r="AH577" s="33" t="s">
        <v>208</v>
      </c>
      <c r="AI577" s="1465"/>
      <c r="AJ577" s="1465"/>
      <c r="AK577" s="14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2706</v>
      </c>
      <c r="I578" s="1394"/>
      <c r="J578" s="1394"/>
      <c r="K578" s="1394"/>
      <c r="L578" s="1394"/>
      <c r="M578" s="1394"/>
      <c r="N578" s="1394"/>
      <c r="O578" s="1394"/>
      <c r="P578" s="1394"/>
      <c r="Q578" s="1394"/>
      <c r="R578" s="1394"/>
      <c r="T578" s="22"/>
      <c r="U578" t="s">
        <v>18</v>
      </c>
      <c r="AA578" s="1394" t="s">
        <v>2707</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7" t="str">
        <f>C554</f>
        <v>Solar Tax Credits</v>
      </c>
      <c r="H581" s="1517"/>
      <c r="I581" s="1517"/>
      <c r="J581" s="1517"/>
      <c r="K581" s="1517"/>
      <c r="L581" s="1517"/>
      <c r="M581" s="1517"/>
      <c r="N581" s="1517"/>
      <c r="O581" s="1517"/>
      <c r="P581" s="1517"/>
      <c r="Q581" s="1517"/>
      <c r="R581" s="1517"/>
      <c r="T581" s="55" t="s">
        <v>594</v>
      </c>
      <c r="U581" t="s">
        <v>473</v>
      </c>
      <c r="Z581" s="1517" t="str">
        <f>C555</f>
        <v>Deferred Developer Fee</v>
      </c>
      <c r="AA581" s="1517"/>
      <c r="AB581" s="1517"/>
      <c r="AC581" s="1517"/>
      <c r="AD581" s="1517"/>
      <c r="AE581" s="1517"/>
      <c r="AF581" s="1517"/>
      <c r="AG581" s="1517"/>
      <c r="AH581" s="1517"/>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t="s">
        <v>2716</v>
      </c>
      <c r="H582" s="1394"/>
      <c r="I582" s="1394"/>
      <c r="J582" s="1394"/>
      <c r="K582" s="1394"/>
      <c r="L582" s="1394"/>
      <c r="M582" s="1394"/>
      <c r="N582" s="1394"/>
      <c r="O582" s="1394"/>
      <c r="P582" s="1394"/>
      <c r="Q582" s="1394"/>
      <c r="R582" s="1394"/>
      <c r="T582" s="22"/>
      <c r="U582" t="s">
        <v>86</v>
      </c>
      <c r="Z582" s="1394" t="s">
        <v>2637</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t="s">
        <v>2717</v>
      </c>
      <c r="H583" s="1394"/>
      <c r="I583" s="1394"/>
      <c r="J583" s="1394"/>
      <c r="K583" s="1394"/>
      <c r="L583" s="1394"/>
      <c r="M583" s="1394"/>
      <c r="N583" s="1394"/>
      <c r="O583" s="1394"/>
      <c r="P583" s="1394"/>
      <c r="Q583" s="1394"/>
      <c r="R583" s="1394"/>
      <c r="T583" s="22"/>
      <c r="U583" t="s">
        <v>590</v>
      </c>
      <c r="Z583" s="1366" t="s">
        <v>2662</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t="s">
        <v>2718</v>
      </c>
      <c r="H584" s="1394"/>
      <c r="I584" s="1394"/>
      <c r="J584" s="1394"/>
      <c r="K584" s="1394"/>
      <c r="L584" s="1394"/>
      <c r="M584" s="1394"/>
      <c r="N584" s="1394"/>
      <c r="O584" s="1394"/>
      <c r="P584" s="1394"/>
      <c r="Q584" s="1394"/>
      <c r="R584" s="1394"/>
      <c r="T584" s="22"/>
      <c r="U584" t="s">
        <v>17</v>
      </c>
      <c r="Z584" s="1366" t="s">
        <v>2640</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6">
        <v>9494381056</v>
      </c>
      <c r="H585" s="1436"/>
      <c r="I585" s="1436"/>
      <c r="J585" s="1436"/>
      <c r="K585" s="1436"/>
      <c r="L585" s="1436"/>
      <c r="O585" s="33" t="s">
        <v>208</v>
      </c>
      <c r="P585" s="1465"/>
      <c r="Q585" s="1465"/>
      <c r="R585" s="1465"/>
      <c r="T585" s="22"/>
      <c r="U585" t="s">
        <v>318</v>
      </c>
      <c r="Z585" s="1436">
        <v>5592923385</v>
      </c>
      <c r="AA585" s="1436"/>
      <c r="AB585" s="1436"/>
      <c r="AC585" s="1436"/>
      <c r="AD585" s="1436"/>
      <c r="AE585" s="1436"/>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t="s">
        <v>2708</v>
      </c>
      <c r="I586" s="1394"/>
      <c r="J586" s="1394"/>
      <c r="K586" s="1394"/>
      <c r="L586" s="1394"/>
      <c r="M586" s="1394"/>
      <c r="N586" s="1394"/>
      <c r="O586" s="1394"/>
      <c r="P586" s="1394"/>
      <c r="Q586" s="1394"/>
      <c r="R586" s="1394"/>
      <c r="T586" s="22"/>
      <c r="U586" t="s">
        <v>18</v>
      </c>
      <c r="AA586" s="1394" t="s">
        <v>1922</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7">
        <f>C556</f>
        <v>0</v>
      </c>
      <c r="H589" s="1517"/>
      <c r="I589" s="1517"/>
      <c r="J589" s="1517"/>
      <c r="K589" s="1517"/>
      <c r="L589" s="1517"/>
      <c r="M589" s="1517"/>
      <c r="N589" s="1517"/>
      <c r="O589" s="1517"/>
      <c r="P589" s="1517"/>
      <c r="Q589" s="1517"/>
      <c r="R589" s="1517"/>
      <c r="T589" s="55" t="s">
        <v>466</v>
      </c>
      <c r="U589" t="s">
        <v>473</v>
      </c>
      <c r="Z589" s="1517">
        <f>C557</f>
        <v>0</v>
      </c>
      <c r="AA589" s="1517"/>
      <c r="AB589" s="1517"/>
      <c r="AC589" s="1517"/>
      <c r="AD589" s="1517"/>
      <c r="AE589" s="1517"/>
      <c r="AF589" s="1517"/>
      <c r="AG589" s="1517"/>
      <c r="AH589" s="1517"/>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6"/>
      <c r="H593" s="1436"/>
      <c r="I593" s="1436"/>
      <c r="J593" s="1436"/>
      <c r="K593" s="1436"/>
      <c r="L593" s="1436"/>
      <c r="M593"/>
      <c r="N593"/>
      <c r="O593" s="33" t="s">
        <v>208</v>
      </c>
      <c r="P593" s="1465"/>
      <c r="Q593" s="1465"/>
      <c r="R593" s="1465"/>
      <c r="S593"/>
      <c r="T593" s="22"/>
      <c r="U593" t="s">
        <v>318</v>
      </c>
      <c r="V593"/>
      <c r="W593"/>
      <c r="X593"/>
      <c r="Y593"/>
      <c r="Z593" s="1436"/>
      <c r="AA593" s="1436"/>
      <c r="AB593" s="1436"/>
      <c r="AC593" s="1436"/>
      <c r="AD593" s="1436"/>
      <c r="AE593" s="1436"/>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501"/>
      <c r="BH595" s="1502"/>
      <c r="BI595" s="121" t="s">
        <v>485</v>
      </c>
      <c r="BJ595" s="122"/>
      <c r="BK595" s="1501"/>
      <c r="BL595" s="1502"/>
      <c r="BM595" s="3"/>
      <c r="BN595" s="1724" t="s">
        <v>643</v>
      </c>
      <c r="BO595" s="1725"/>
      <c r="BP595" s="1725"/>
      <c r="BQ595" s="1725"/>
      <c r="BR595" s="1726"/>
      <c r="BS595" s="1516" t="s">
        <v>327</v>
      </c>
      <c r="BT595" s="1516"/>
      <c r="BU595" s="1516"/>
      <c r="BV595" s="1516"/>
      <c r="BW595" s="1516"/>
      <c r="BX595" s="1516" t="s">
        <v>164</v>
      </c>
      <c r="BY595" s="1516"/>
      <c r="BZ595" s="1516"/>
      <c r="CA595" s="1516"/>
      <c r="CB595" s="1516"/>
      <c r="CC595" s="1516" t="s">
        <v>165</v>
      </c>
      <c r="CD595" s="1516"/>
      <c r="CE595" s="1516"/>
      <c r="CF595" s="1516"/>
      <c r="CG595" s="1516"/>
      <c r="CH595" s="1516" t="s">
        <v>470</v>
      </c>
      <c r="CI595" s="1516"/>
      <c r="CJ595" s="1516"/>
      <c r="CK595" s="1516"/>
      <c r="CL595" s="1516"/>
      <c r="CM595" s="1516" t="s">
        <v>30</v>
      </c>
      <c r="CN595" s="1516"/>
      <c r="CO595" s="1516"/>
      <c r="CP595" s="1516"/>
      <c r="CQ595" s="1516"/>
      <c r="CR595" s="89"/>
      <c r="CS595" s="1516" t="s">
        <v>643</v>
      </c>
      <c r="CT595" s="1516"/>
      <c r="CU595" s="1516"/>
      <c r="CV595" s="1516"/>
      <c r="CW595" s="1516"/>
      <c r="CX595" s="1516" t="s">
        <v>327</v>
      </c>
      <c r="CY595" s="1516"/>
      <c r="CZ595" s="1516"/>
      <c r="DA595" s="1516"/>
      <c r="DB595" s="1516"/>
      <c r="DC595" s="1516" t="s">
        <v>164</v>
      </c>
      <c r="DD595" s="1516"/>
      <c r="DE595" s="1516"/>
      <c r="DF595" s="1516"/>
      <c r="DG595" s="1516"/>
      <c r="DH595" s="1516" t="s">
        <v>165</v>
      </c>
      <c r="DI595" s="1516"/>
      <c r="DJ595" s="1516"/>
      <c r="DK595" s="1516"/>
      <c r="DL595" s="1516"/>
      <c r="DM595" s="1516" t="s">
        <v>470</v>
      </c>
      <c r="DN595" s="1516"/>
      <c r="DO595" s="1516"/>
      <c r="DP595" s="1516"/>
      <c r="DQ595" s="1516"/>
      <c r="DR595" s="1516" t="s">
        <v>30</v>
      </c>
      <c r="DS595" s="1516"/>
      <c r="DT595" s="1516"/>
      <c r="DU595" s="1516"/>
      <c r="DV595" s="1516"/>
      <c r="DX595" s="1516" t="s">
        <v>643</v>
      </c>
      <c r="DY595" s="1516"/>
      <c r="DZ595" s="1516"/>
      <c r="EA595" s="1516"/>
      <c r="EB595" s="1516"/>
      <c r="EC595" s="1516" t="s">
        <v>327</v>
      </c>
      <c r="ED595" s="1516"/>
      <c r="EE595" s="1516"/>
      <c r="EF595" s="1516"/>
      <c r="EG595" s="1516"/>
      <c r="EH595" s="1516" t="s">
        <v>164</v>
      </c>
      <c r="EI595" s="1516"/>
      <c r="EJ595" s="1516"/>
      <c r="EK595" s="1516"/>
      <c r="EL595" s="1516"/>
      <c r="EM595" s="1516" t="s">
        <v>165</v>
      </c>
      <c r="EN595" s="1516"/>
      <c r="EO595" s="1516"/>
      <c r="EP595" s="1516"/>
      <c r="EQ595" s="1516"/>
      <c r="ER595" s="1516" t="s">
        <v>470</v>
      </c>
      <c r="ES595" s="1516"/>
      <c r="ET595" s="1516"/>
      <c r="EU595" s="1516"/>
      <c r="EV595" s="1516"/>
      <c r="EW595" s="1516" t="s">
        <v>30</v>
      </c>
      <c r="EX595" s="1516"/>
      <c r="EY595" s="1516"/>
      <c r="EZ595" s="1516"/>
      <c r="FA595" s="151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501">
        <f t="shared" ref="BG596:BG620" si="2">IF(BE596=1,G714,0)</f>
        <v>0</v>
      </c>
      <c r="BH596" s="1502"/>
      <c r="BI596" s="1419">
        <f t="shared" ref="BI596:BI620" si="3">IF(AND(AC714&lt;=0.35,AC714&gt;0),1,0)</f>
        <v>1</v>
      </c>
      <c r="BJ596" s="1420"/>
      <c r="BK596" s="1501">
        <f t="shared" ref="BK596:BK620" si="4">IF(BI596=1,G714,0)</f>
        <v>5</v>
      </c>
      <c r="BL596" s="1502"/>
      <c r="BM596" s="3"/>
      <c r="BN596" s="1512">
        <f t="shared" ref="BN596:BN620" si="5">IF(B714="SRO/Studio",G714,0)</f>
        <v>0</v>
      </c>
      <c r="BO596" s="1513"/>
      <c r="BP596" s="1513"/>
      <c r="BQ596" s="1513"/>
      <c r="BR596" s="1514"/>
      <c r="BS596" s="1395">
        <f t="shared" ref="BS596:BS620" si="6">IF(B714="1 Bedroom",G714,0)</f>
        <v>5</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28">
        <f t="shared" ref="CS596:CS620" si="11">IF(AND(B714="SRO/Studio",AC714&lt;=0.3),G714,0)</f>
        <v>0</v>
      </c>
      <c r="CT596" s="1728"/>
      <c r="CU596" s="1728"/>
      <c r="CV596" s="1728"/>
      <c r="CW596" s="1728"/>
      <c r="CX596" s="1728">
        <f t="shared" ref="CX596:CX620" si="12">IF(AND(B714="1 Bedroom",AC714&lt;=0.3),G714,0)</f>
        <v>5</v>
      </c>
      <c r="CY596" s="1728"/>
      <c r="CZ596" s="1728"/>
      <c r="DA596" s="1728"/>
      <c r="DB596" s="1728"/>
      <c r="DC596" s="1728">
        <f t="shared" ref="DC596:DC620" si="13">IF(AND(B714="2 Bedrooms",AC714&lt;=0.3),G714,0)</f>
        <v>0</v>
      </c>
      <c r="DD596" s="1728"/>
      <c r="DE596" s="1728"/>
      <c r="DF596" s="1728"/>
      <c r="DG596" s="1728"/>
      <c r="DH596" s="1728">
        <f t="shared" ref="DH596:DH620" si="14">IF(AND(B714="3 Bedrooms",AC714&lt;=0.3),G714,0)</f>
        <v>0</v>
      </c>
      <c r="DI596" s="1728"/>
      <c r="DJ596" s="1728"/>
      <c r="DK596" s="1728"/>
      <c r="DL596" s="1728"/>
      <c r="DM596" s="1728">
        <f t="shared" ref="DM596:DM620" si="15">IF(AND(B714="4 Bedrooms",AC714&lt;=0.3),G714,0)</f>
        <v>0</v>
      </c>
      <c r="DN596" s="1728"/>
      <c r="DO596" s="1728"/>
      <c r="DP596" s="1728"/>
      <c r="DQ596" s="1728"/>
      <c r="DR596" s="1728">
        <f t="shared" ref="DR596:DR620" si="16">IF(AND(B714="5 Bedrooms",AC714&lt;=0.3),G714,0)</f>
        <v>0</v>
      </c>
      <c r="DS596" s="1728"/>
      <c r="DT596" s="1728"/>
      <c r="DU596" s="1728"/>
      <c r="DV596" s="1728"/>
      <c r="DX596" s="1419" t="str">
        <f t="shared" ref="DX596:DX620" si="17">IF(BN596&gt;0,O714," ")</f>
        <v xml:space="preserve"> </v>
      </c>
      <c r="DY596" s="1859"/>
      <c r="DZ596" s="1859"/>
      <c r="EA596" s="1859"/>
      <c r="EB596" s="1420"/>
      <c r="EC596" s="1419">
        <f t="shared" ref="EC596:EC620" si="18">IF(BS596&gt;0,O714," ")</f>
        <v>317</v>
      </c>
      <c r="ED596" s="1859"/>
      <c r="EE596" s="1859"/>
      <c r="EF596" s="1859"/>
      <c r="EG596" s="1420"/>
      <c r="EH596" s="1419" t="str">
        <f t="shared" ref="EH596:EH620" si="19">IF(BX596&gt;0,O714," ")</f>
        <v xml:space="preserve"> </v>
      </c>
      <c r="EI596" s="1859"/>
      <c r="EJ596" s="1859"/>
      <c r="EK596" s="1859"/>
      <c r="EL596" s="1420"/>
      <c r="EM596" s="1419" t="str">
        <f t="shared" ref="EM596:EM620" si="20">IF(CC596&gt;0,O714," ")</f>
        <v xml:space="preserve"> </v>
      </c>
      <c r="EN596" s="1859"/>
      <c r="EO596" s="1859"/>
      <c r="EP596" s="1859"/>
      <c r="EQ596" s="1420"/>
      <c r="ER596" s="1419" t="str">
        <f t="shared" ref="ER596:ER620" si="21">IF(CH596&gt;0,O714," ")</f>
        <v xml:space="preserve"> </v>
      </c>
      <c r="ES596" s="1859"/>
      <c r="ET596" s="1859"/>
      <c r="EU596" s="1859"/>
      <c r="EV596" s="1420"/>
      <c r="EW596" s="1419" t="str">
        <f t="shared" ref="EW596:EW620" si="22">IF(CM596&gt;0,O714," ")</f>
        <v xml:space="preserve"> </v>
      </c>
      <c r="EX596" s="1859"/>
      <c r="EY596" s="1859"/>
      <c r="EZ596" s="1859"/>
      <c r="FA596" s="1420"/>
    </row>
    <row r="597" spans="1:157" s="4" customFormat="1" ht="12.95" customHeight="1">
      <c r="A597" s="55" t="s">
        <v>471</v>
      </c>
      <c r="B597" t="s">
        <v>473</v>
      </c>
      <c r="C597"/>
      <c r="D597"/>
      <c r="E597"/>
      <c r="F597"/>
      <c r="G597" s="1517">
        <f>C558</f>
        <v>0</v>
      </c>
      <c r="H597" s="1517"/>
      <c r="I597" s="1517"/>
      <c r="J597" s="1517"/>
      <c r="K597" s="1517"/>
      <c r="L597" s="1517"/>
      <c r="M597" s="1517"/>
      <c r="N597" s="1517"/>
      <c r="O597" s="1517"/>
      <c r="P597" s="1517"/>
      <c r="Q597" s="1517"/>
      <c r="R597" s="1517"/>
      <c r="S597"/>
      <c r="T597" s="55" t="s">
        <v>656</v>
      </c>
      <c r="U597" t="s">
        <v>473</v>
      </c>
      <c r="V597"/>
      <c r="W597"/>
      <c r="X597"/>
      <c r="Y597"/>
      <c r="Z597" s="1517">
        <f>C559</f>
        <v>0</v>
      </c>
      <c r="AA597" s="1517"/>
      <c r="AB597" s="1517"/>
      <c r="AC597" s="1517"/>
      <c r="AD597" s="1517"/>
      <c r="AE597" s="1517"/>
      <c r="AF597" s="1517"/>
      <c r="AG597" s="1517"/>
      <c r="AH597" s="1517"/>
      <c r="AI597" s="1517"/>
      <c r="AJ597" s="1517"/>
      <c r="AK597" s="1517"/>
      <c r="AL597"/>
      <c r="AM597"/>
      <c r="AN597"/>
      <c r="AO597"/>
      <c r="AP597"/>
      <c r="AQ597"/>
      <c r="AR597"/>
      <c r="AS597"/>
      <c r="AT597"/>
      <c r="AU597"/>
      <c r="AV597"/>
      <c r="AW597"/>
      <c r="AX597"/>
      <c r="AY597"/>
      <c r="BA597" s="4" t="s">
        <v>164</v>
      </c>
      <c r="BB597" s="3"/>
      <c r="BC597" s="3"/>
      <c r="BD597" s="3"/>
      <c r="BE597" s="1419">
        <f t="shared" si="1"/>
        <v>1</v>
      </c>
      <c r="BF597" s="1420"/>
      <c r="BG597" s="1501">
        <f t="shared" si="2"/>
        <v>2</v>
      </c>
      <c r="BH597" s="1502"/>
      <c r="BI597" s="1419">
        <f t="shared" si="3"/>
        <v>0</v>
      </c>
      <c r="BJ597" s="1420"/>
      <c r="BK597" s="1501">
        <f t="shared" si="4"/>
        <v>0</v>
      </c>
      <c r="BL597" s="1502"/>
      <c r="BM597" s="3"/>
      <c r="BN597" s="1512">
        <f t="shared" si="5"/>
        <v>0</v>
      </c>
      <c r="BO597" s="1513"/>
      <c r="BP597" s="1513"/>
      <c r="BQ597" s="1513"/>
      <c r="BR597" s="1514"/>
      <c r="BS597" s="1395">
        <f t="shared" si="6"/>
        <v>2</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28">
        <f t="shared" si="11"/>
        <v>0</v>
      </c>
      <c r="CT597" s="1728"/>
      <c r="CU597" s="1728"/>
      <c r="CV597" s="1728"/>
      <c r="CW597" s="1728"/>
      <c r="CX597" s="1728">
        <f t="shared" si="12"/>
        <v>0</v>
      </c>
      <c r="CY597" s="1728"/>
      <c r="CZ597" s="1728"/>
      <c r="DA597" s="1728"/>
      <c r="DB597" s="1728"/>
      <c r="DC597" s="1728">
        <f t="shared" si="13"/>
        <v>0</v>
      </c>
      <c r="DD597" s="1728"/>
      <c r="DE597" s="1728"/>
      <c r="DF597" s="1728"/>
      <c r="DG597" s="1728"/>
      <c r="DH597" s="1728">
        <f t="shared" si="14"/>
        <v>0</v>
      </c>
      <c r="DI597" s="1728"/>
      <c r="DJ597" s="1728"/>
      <c r="DK597" s="1728"/>
      <c r="DL597" s="1728"/>
      <c r="DM597" s="1728">
        <f t="shared" si="15"/>
        <v>0</v>
      </c>
      <c r="DN597" s="1728"/>
      <c r="DO597" s="1728"/>
      <c r="DP597" s="1728"/>
      <c r="DQ597" s="1728"/>
      <c r="DR597" s="1728">
        <f t="shared" si="16"/>
        <v>0</v>
      </c>
      <c r="DS597" s="1728"/>
      <c r="DT597" s="1728"/>
      <c r="DU597" s="1728"/>
      <c r="DV597" s="1728"/>
      <c r="DX597" s="1419" t="str">
        <f t="shared" si="17"/>
        <v xml:space="preserve"> </v>
      </c>
      <c r="DY597" s="1859"/>
      <c r="DZ597" s="1859"/>
      <c r="EA597" s="1859"/>
      <c r="EB597" s="1420"/>
      <c r="EC597" s="1419">
        <f t="shared" si="18"/>
        <v>464</v>
      </c>
      <c r="ED597" s="1859"/>
      <c r="EE597" s="1859"/>
      <c r="EF597" s="1859"/>
      <c r="EG597" s="1420"/>
      <c r="EH597" s="1419" t="str">
        <f t="shared" si="19"/>
        <v xml:space="preserve"> </v>
      </c>
      <c r="EI597" s="1859"/>
      <c r="EJ597" s="1859"/>
      <c r="EK597" s="1859"/>
      <c r="EL597" s="1420"/>
      <c r="EM597" s="1419" t="str">
        <f t="shared" si="20"/>
        <v xml:space="preserve"> </v>
      </c>
      <c r="EN597" s="1859"/>
      <c r="EO597" s="1859"/>
      <c r="EP597" s="1859"/>
      <c r="EQ597" s="1420"/>
      <c r="ER597" s="1419" t="str">
        <f t="shared" si="21"/>
        <v xml:space="preserve"> </v>
      </c>
      <c r="ES597" s="1859"/>
      <c r="ET597" s="1859"/>
      <c r="EU597" s="1859"/>
      <c r="EV597" s="1420"/>
      <c r="EW597" s="1419" t="str">
        <f t="shared" si="22"/>
        <v xml:space="preserve"> </v>
      </c>
      <c r="EX597" s="1859"/>
      <c r="EY597" s="1859"/>
      <c r="EZ597" s="1859"/>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1</v>
      </c>
      <c r="BF598" s="1420"/>
      <c r="BG598" s="1501">
        <f t="shared" si="2"/>
        <v>1</v>
      </c>
      <c r="BH598" s="1502"/>
      <c r="BI598" s="1419">
        <f t="shared" si="3"/>
        <v>0</v>
      </c>
      <c r="BJ598" s="1420"/>
      <c r="BK598" s="1501">
        <f t="shared" si="4"/>
        <v>0</v>
      </c>
      <c r="BL598" s="1502"/>
      <c r="BM598" s="3"/>
      <c r="BN598" s="1512">
        <f t="shared" si="5"/>
        <v>0</v>
      </c>
      <c r="BO598" s="1513"/>
      <c r="BP598" s="1513"/>
      <c r="BQ598" s="1513"/>
      <c r="BR598" s="1514"/>
      <c r="BS598" s="1395">
        <f t="shared" si="6"/>
        <v>1</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28">
        <f t="shared" si="11"/>
        <v>0</v>
      </c>
      <c r="CT598" s="1728"/>
      <c r="CU598" s="1728"/>
      <c r="CV598" s="1728"/>
      <c r="CW598" s="1728"/>
      <c r="CX598" s="1728">
        <f t="shared" si="12"/>
        <v>0</v>
      </c>
      <c r="CY598" s="1728"/>
      <c r="CZ598" s="1728"/>
      <c r="DA598" s="1728"/>
      <c r="DB598" s="1728"/>
      <c r="DC598" s="1728">
        <f t="shared" si="13"/>
        <v>0</v>
      </c>
      <c r="DD598" s="1728"/>
      <c r="DE598" s="1728"/>
      <c r="DF598" s="1728"/>
      <c r="DG598" s="1728"/>
      <c r="DH598" s="1728">
        <f t="shared" si="14"/>
        <v>0</v>
      </c>
      <c r="DI598" s="1728"/>
      <c r="DJ598" s="1728"/>
      <c r="DK598" s="1728"/>
      <c r="DL598" s="1728"/>
      <c r="DM598" s="1728">
        <f t="shared" si="15"/>
        <v>0</v>
      </c>
      <c r="DN598" s="1728"/>
      <c r="DO598" s="1728"/>
      <c r="DP598" s="1728"/>
      <c r="DQ598" s="1728"/>
      <c r="DR598" s="1728">
        <f t="shared" si="16"/>
        <v>0</v>
      </c>
      <c r="DS598" s="1728"/>
      <c r="DT598" s="1728"/>
      <c r="DU598" s="1728"/>
      <c r="DV598" s="1728"/>
      <c r="DX598" s="1419" t="str">
        <f t="shared" si="17"/>
        <v xml:space="preserve"> </v>
      </c>
      <c r="DY598" s="1859"/>
      <c r="DZ598" s="1859"/>
      <c r="EA598" s="1859"/>
      <c r="EB598" s="1420"/>
      <c r="EC598" s="1419">
        <f t="shared" si="18"/>
        <v>574.88</v>
      </c>
      <c r="ED598" s="1859"/>
      <c r="EE598" s="1859"/>
      <c r="EF598" s="1859"/>
      <c r="EG598" s="1420"/>
      <c r="EH598" s="1419" t="str">
        <f t="shared" si="19"/>
        <v xml:space="preserve"> </v>
      </c>
      <c r="EI598" s="1859"/>
      <c r="EJ598" s="1859"/>
      <c r="EK598" s="1859"/>
      <c r="EL598" s="1420"/>
      <c r="EM598" s="1419" t="str">
        <f t="shared" si="20"/>
        <v xml:space="preserve"> </v>
      </c>
      <c r="EN598" s="1859"/>
      <c r="EO598" s="1859"/>
      <c r="EP598" s="1859"/>
      <c r="EQ598" s="1420"/>
      <c r="ER598" s="1419" t="str">
        <f t="shared" si="21"/>
        <v xml:space="preserve"> </v>
      </c>
      <c r="ES598" s="1859"/>
      <c r="ET598" s="1859"/>
      <c r="EU598" s="1859"/>
      <c r="EV598" s="1420"/>
      <c r="EW598" s="1419" t="str">
        <f t="shared" si="22"/>
        <v xml:space="preserve"> </v>
      </c>
      <c r="EX598" s="1859"/>
      <c r="EY598" s="1859"/>
      <c r="EZ598" s="1859"/>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1</v>
      </c>
      <c r="BF599" s="1420"/>
      <c r="BG599" s="1501">
        <f t="shared" si="2"/>
        <v>5</v>
      </c>
      <c r="BH599" s="1502"/>
      <c r="BI599" s="1419">
        <f t="shared" si="3"/>
        <v>0</v>
      </c>
      <c r="BJ599" s="1420"/>
      <c r="BK599" s="1501">
        <f t="shared" si="4"/>
        <v>0</v>
      </c>
      <c r="BL599" s="1502"/>
      <c r="BM599" s="3"/>
      <c r="BN599" s="1512">
        <f t="shared" si="5"/>
        <v>0</v>
      </c>
      <c r="BO599" s="1513"/>
      <c r="BP599" s="1513"/>
      <c r="BQ599" s="1513"/>
      <c r="BR599" s="1514"/>
      <c r="BS599" s="1395">
        <f t="shared" si="6"/>
        <v>5</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28">
        <f t="shared" si="11"/>
        <v>0</v>
      </c>
      <c r="CT599" s="1728"/>
      <c r="CU599" s="1728"/>
      <c r="CV599" s="1728"/>
      <c r="CW599" s="1728"/>
      <c r="CX599" s="1728">
        <f t="shared" si="12"/>
        <v>0</v>
      </c>
      <c r="CY599" s="1728"/>
      <c r="CZ599" s="1728"/>
      <c r="DA599" s="1728"/>
      <c r="DB599" s="1728"/>
      <c r="DC599" s="1728">
        <f t="shared" si="13"/>
        <v>0</v>
      </c>
      <c r="DD599" s="1728"/>
      <c r="DE599" s="1728"/>
      <c r="DF599" s="1728"/>
      <c r="DG599" s="1728"/>
      <c r="DH599" s="1728">
        <f t="shared" si="14"/>
        <v>0</v>
      </c>
      <c r="DI599" s="1728"/>
      <c r="DJ599" s="1728"/>
      <c r="DK599" s="1728"/>
      <c r="DL599" s="1728"/>
      <c r="DM599" s="1728">
        <f t="shared" si="15"/>
        <v>0</v>
      </c>
      <c r="DN599" s="1728"/>
      <c r="DO599" s="1728"/>
      <c r="DP599" s="1728"/>
      <c r="DQ599" s="1728"/>
      <c r="DR599" s="1728">
        <f t="shared" si="16"/>
        <v>0</v>
      </c>
      <c r="DS599" s="1728"/>
      <c r="DT599" s="1728"/>
      <c r="DU599" s="1728"/>
      <c r="DV599" s="1728"/>
      <c r="DX599" s="1419" t="str">
        <f t="shared" si="17"/>
        <v xml:space="preserve"> </v>
      </c>
      <c r="DY599" s="1859"/>
      <c r="DZ599" s="1859"/>
      <c r="EA599" s="1859"/>
      <c r="EB599" s="1420"/>
      <c r="EC599" s="1419">
        <f t="shared" si="18"/>
        <v>720.88</v>
      </c>
      <c r="ED599" s="1859"/>
      <c r="EE599" s="1859"/>
      <c r="EF599" s="1859"/>
      <c r="EG599" s="1420"/>
      <c r="EH599" s="1419" t="str">
        <f t="shared" si="19"/>
        <v xml:space="preserve"> </v>
      </c>
      <c r="EI599" s="1859"/>
      <c r="EJ599" s="1859"/>
      <c r="EK599" s="1859"/>
      <c r="EL599" s="1420"/>
      <c r="EM599" s="1419" t="str">
        <f t="shared" si="20"/>
        <v xml:space="preserve"> </v>
      </c>
      <c r="EN599" s="1859"/>
      <c r="EO599" s="1859"/>
      <c r="EP599" s="1859"/>
      <c r="EQ599" s="1420"/>
      <c r="ER599" s="1419" t="str">
        <f t="shared" si="21"/>
        <v xml:space="preserve"> </v>
      </c>
      <c r="ES599" s="1859"/>
      <c r="ET599" s="1859"/>
      <c r="EU599" s="1859"/>
      <c r="EV599" s="1420"/>
      <c r="EW599" s="1419" t="str">
        <f t="shared" si="22"/>
        <v xml:space="preserve"> </v>
      </c>
      <c r="EX599" s="1859"/>
      <c r="EY599" s="1859"/>
      <c r="EZ599" s="1859"/>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501">
        <f t="shared" si="2"/>
        <v>0</v>
      </c>
      <c r="BH600" s="1502"/>
      <c r="BI600" s="1419">
        <f t="shared" si="3"/>
        <v>0</v>
      </c>
      <c r="BJ600" s="1420"/>
      <c r="BK600" s="1501">
        <f t="shared" si="4"/>
        <v>0</v>
      </c>
      <c r="BL600" s="1502"/>
      <c r="BM600" s="3"/>
      <c r="BN600" s="1512">
        <f t="shared" si="5"/>
        <v>0</v>
      </c>
      <c r="BO600" s="1513"/>
      <c r="BP600" s="1513"/>
      <c r="BQ600" s="1513"/>
      <c r="BR600" s="1514"/>
      <c r="BS600" s="1395">
        <f t="shared" si="6"/>
        <v>5</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28">
        <f t="shared" si="11"/>
        <v>0</v>
      </c>
      <c r="CT600" s="1728"/>
      <c r="CU600" s="1728"/>
      <c r="CV600" s="1728"/>
      <c r="CW600" s="1728"/>
      <c r="CX600" s="1728">
        <f t="shared" si="12"/>
        <v>0</v>
      </c>
      <c r="CY600" s="1728"/>
      <c r="CZ600" s="1728"/>
      <c r="DA600" s="1728"/>
      <c r="DB600" s="1728"/>
      <c r="DC600" s="1728">
        <f t="shared" si="13"/>
        <v>0</v>
      </c>
      <c r="DD600" s="1728"/>
      <c r="DE600" s="1728"/>
      <c r="DF600" s="1728"/>
      <c r="DG600" s="1728"/>
      <c r="DH600" s="1728">
        <f t="shared" si="14"/>
        <v>0</v>
      </c>
      <c r="DI600" s="1728"/>
      <c r="DJ600" s="1728"/>
      <c r="DK600" s="1728"/>
      <c r="DL600" s="1728"/>
      <c r="DM600" s="1728">
        <f t="shared" si="15"/>
        <v>0</v>
      </c>
      <c r="DN600" s="1728"/>
      <c r="DO600" s="1728"/>
      <c r="DP600" s="1728"/>
      <c r="DQ600" s="1728"/>
      <c r="DR600" s="1728">
        <f t="shared" si="16"/>
        <v>0</v>
      </c>
      <c r="DS600" s="1728"/>
      <c r="DT600" s="1728"/>
      <c r="DU600" s="1728"/>
      <c r="DV600" s="1728"/>
      <c r="DX600" s="1419" t="str">
        <f t="shared" si="17"/>
        <v xml:space="preserve"> </v>
      </c>
      <c r="DY600" s="1859"/>
      <c r="DZ600" s="1859"/>
      <c r="EA600" s="1859"/>
      <c r="EB600" s="1420"/>
      <c r="EC600" s="1419">
        <f t="shared" si="18"/>
        <v>866.88</v>
      </c>
      <c r="ED600" s="1859"/>
      <c r="EE600" s="1859"/>
      <c r="EF600" s="1859"/>
      <c r="EG600" s="1420"/>
      <c r="EH600" s="1419" t="str">
        <f t="shared" si="19"/>
        <v xml:space="preserve"> </v>
      </c>
      <c r="EI600" s="1859"/>
      <c r="EJ600" s="1859"/>
      <c r="EK600" s="1859"/>
      <c r="EL600" s="1420"/>
      <c r="EM600" s="1419" t="str">
        <f t="shared" si="20"/>
        <v xml:space="preserve"> </v>
      </c>
      <c r="EN600" s="1859"/>
      <c r="EO600" s="1859"/>
      <c r="EP600" s="1859"/>
      <c r="EQ600" s="1420"/>
      <c r="ER600" s="1419" t="str">
        <f t="shared" si="21"/>
        <v xml:space="preserve"> </v>
      </c>
      <c r="ES600" s="1859"/>
      <c r="ET600" s="1859"/>
      <c r="EU600" s="1859"/>
      <c r="EV600" s="1420"/>
      <c r="EW600" s="1419" t="str">
        <f t="shared" si="22"/>
        <v xml:space="preserve"> </v>
      </c>
      <c r="EX600" s="1859"/>
      <c r="EY600" s="1859"/>
      <c r="EZ600" s="1859"/>
      <c r="FA600" s="1420"/>
    </row>
    <row r="601" spans="1:157" ht="12.95" customHeight="1">
      <c r="A601" s="22"/>
      <c r="B601" t="s">
        <v>318</v>
      </c>
      <c r="G601" s="1436"/>
      <c r="H601" s="1436"/>
      <c r="I601" s="1436"/>
      <c r="J601" s="1436"/>
      <c r="K601" s="1436"/>
      <c r="L601" s="1436"/>
      <c r="O601" s="33" t="s">
        <v>208</v>
      </c>
      <c r="P601" s="1465"/>
      <c r="Q601" s="1465"/>
      <c r="R601" s="1465"/>
      <c r="T601" s="22"/>
      <c r="U601" t="s">
        <v>318</v>
      </c>
      <c r="Z601" s="1436"/>
      <c r="AA601" s="1436"/>
      <c r="AB601" s="1436"/>
      <c r="AC601" s="1436"/>
      <c r="AD601" s="1436"/>
      <c r="AE601" s="1436"/>
      <c r="AH601" s="33" t="s">
        <v>208</v>
      </c>
      <c r="AI601" s="1465"/>
      <c r="AJ601" s="1465"/>
      <c r="AK601" s="1465"/>
      <c r="AZ601" s="3"/>
      <c r="BA601" s="3"/>
      <c r="BB601" s="3"/>
      <c r="BC601" s="3"/>
      <c r="BD601" s="3"/>
      <c r="BE601" s="1419">
        <f t="shared" si="1"/>
        <v>0</v>
      </c>
      <c r="BF601" s="1420"/>
      <c r="BG601" s="1501">
        <f t="shared" si="2"/>
        <v>0</v>
      </c>
      <c r="BH601" s="1502"/>
      <c r="BI601" s="1419">
        <f t="shared" si="3"/>
        <v>1</v>
      </c>
      <c r="BJ601" s="1420"/>
      <c r="BK601" s="1501">
        <f t="shared" si="4"/>
        <v>8</v>
      </c>
      <c r="BL601" s="1502"/>
      <c r="BM601" s="3"/>
      <c r="BN601" s="1512">
        <f t="shared" si="5"/>
        <v>0</v>
      </c>
      <c r="BO601" s="1513"/>
      <c r="BP601" s="1513"/>
      <c r="BQ601" s="1513"/>
      <c r="BR601" s="1514"/>
      <c r="BS601" s="1395">
        <f t="shared" si="6"/>
        <v>0</v>
      </c>
      <c r="BT601" s="1395"/>
      <c r="BU601" s="1395"/>
      <c r="BV601" s="1395"/>
      <c r="BW601" s="1395"/>
      <c r="BX601" s="1395">
        <f t="shared" si="7"/>
        <v>8</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28">
        <f t="shared" si="11"/>
        <v>0</v>
      </c>
      <c r="CT601" s="1728"/>
      <c r="CU601" s="1728"/>
      <c r="CV601" s="1728"/>
      <c r="CW601" s="1728"/>
      <c r="CX601" s="1728">
        <f t="shared" si="12"/>
        <v>0</v>
      </c>
      <c r="CY601" s="1728"/>
      <c r="CZ601" s="1728"/>
      <c r="DA601" s="1728"/>
      <c r="DB601" s="1728"/>
      <c r="DC601" s="1728">
        <f t="shared" si="13"/>
        <v>8</v>
      </c>
      <c r="DD601" s="1728"/>
      <c r="DE601" s="1728"/>
      <c r="DF601" s="1728"/>
      <c r="DG601" s="1728"/>
      <c r="DH601" s="1728">
        <f t="shared" si="14"/>
        <v>0</v>
      </c>
      <c r="DI601" s="1728"/>
      <c r="DJ601" s="1728"/>
      <c r="DK601" s="1728"/>
      <c r="DL601" s="1728"/>
      <c r="DM601" s="1728">
        <f t="shared" si="15"/>
        <v>0</v>
      </c>
      <c r="DN601" s="1728"/>
      <c r="DO601" s="1728"/>
      <c r="DP601" s="1728"/>
      <c r="DQ601" s="1728"/>
      <c r="DR601" s="1728">
        <f t="shared" si="16"/>
        <v>0</v>
      </c>
      <c r="DS601" s="1728"/>
      <c r="DT601" s="1728"/>
      <c r="DU601" s="1728"/>
      <c r="DV601" s="1728"/>
      <c r="DX601" s="1419" t="str">
        <f t="shared" si="17"/>
        <v xml:space="preserve"> </v>
      </c>
      <c r="DY601" s="1859"/>
      <c r="DZ601" s="1859"/>
      <c r="EA601" s="1859"/>
      <c r="EB601" s="1420"/>
      <c r="EC601" s="1419" t="str">
        <f t="shared" si="18"/>
        <v xml:space="preserve"> </v>
      </c>
      <c r="ED601" s="1859"/>
      <c r="EE601" s="1859"/>
      <c r="EF601" s="1859"/>
      <c r="EG601" s="1420"/>
      <c r="EH601" s="1419">
        <f t="shared" si="19"/>
        <v>380</v>
      </c>
      <c r="EI601" s="1859"/>
      <c r="EJ601" s="1859"/>
      <c r="EK601" s="1859"/>
      <c r="EL601" s="1420"/>
      <c r="EM601" s="1419" t="str">
        <f t="shared" si="20"/>
        <v xml:space="preserve"> </v>
      </c>
      <c r="EN601" s="1859"/>
      <c r="EO601" s="1859"/>
      <c r="EP601" s="1859"/>
      <c r="EQ601" s="1420"/>
      <c r="ER601" s="1419" t="str">
        <f t="shared" si="21"/>
        <v xml:space="preserve"> </v>
      </c>
      <c r="ES601" s="1859"/>
      <c r="ET601" s="1859"/>
      <c r="EU601" s="1859"/>
      <c r="EV601" s="1420"/>
      <c r="EW601" s="1419" t="str">
        <f t="shared" si="22"/>
        <v xml:space="preserve"> </v>
      </c>
      <c r="EX601" s="1859"/>
      <c r="EY601" s="1859"/>
      <c r="EZ601" s="1859"/>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1</v>
      </c>
      <c r="BF602" s="1420"/>
      <c r="BG602" s="1501">
        <f t="shared" si="2"/>
        <v>3</v>
      </c>
      <c r="BH602" s="1502"/>
      <c r="BI602" s="1419">
        <f t="shared" si="3"/>
        <v>0</v>
      </c>
      <c r="BJ602" s="1420"/>
      <c r="BK602" s="1501">
        <f t="shared" si="4"/>
        <v>0</v>
      </c>
      <c r="BL602" s="1502"/>
      <c r="BM602" s="3"/>
      <c r="BN602" s="1512">
        <f t="shared" si="5"/>
        <v>0</v>
      </c>
      <c r="BO602" s="1513"/>
      <c r="BP602" s="1513"/>
      <c r="BQ602" s="1513"/>
      <c r="BR602" s="1514"/>
      <c r="BS602" s="1395">
        <f t="shared" si="6"/>
        <v>0</v>
      </c>
      <c r="BT602" s="1395"/>
      <c r="BU602" s="1395"/>
      <c r="BV602" s="1395"/>
      <c r="BW602" s="1395"/>
      <c r="BX602" s="1395">
        <f t="shared" si="7"/>
        <v>3</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28">
        <f t="shared" si="11"/>
        <v>0</v>
      </c>
      <c r="CT602" s="1728"/>
      <c r="CU602" s="1728"/>
      <c r="CV602" s="1728"/>
      <c r="CW602" s="1728"/>
      <c r="CX602" s="1728">
        <f t="shared" si="12"/>
        <v>0</v>
      </c>
      <c r="CY602" s="1728"/>
      <c r="CZ602" s="1728"/>
      <c r="DA602" s="1728"/>
      <c r="DB602" s="1728"/>
      <c r="DC602" s="1728">
        <f t="shared" si="13"/>
        <v>0</v>
      </c>
      <c r="DD602" s="1728"/>
      <c r="DE602" s="1728"/>
      <c r="DF602" s="1728"/>
      <c r="DG602" s="1728"/>
      <c r="DH602" s="1728">
        <f t="shared" si="14"/>
        <v>0</v>
      </c>
      <c r="DI602" s="1728"/>
      <c r="DJ602" s="1728"/>
      <c r="DK602" s="1728"/>
      <c r="DL602" s="1728"/>
      <c r="DM602" s="1728">
        <f t="shared" si="15"/>
        <v>0</v>
      </c>
      <c r="DN602" s="1728"/>
      <c r="DO602" s="1728"/>
      <c r="DP602" s="1728"/>
      <c r="DQ602" s="1728"/>
      <c r="DR602" s="1728">
        <f t="shared" si="16"/>
        <v>0</v>
      </c>
      <c r="DS602" s="1728"/>
      <c r="DT602" s="1728"/>
      <c r="DU602" s="1728"/>
      <c r="DV602" s="1728"/>
      <c r="DX602" s="1419" t="str">
        <f t="shared" si="17"/>
        <v xml:space="preserve"> </v>
      </c>
      <c r="DY602" s="1859"/>
      <c r="DZ602" s="1859"/>
      <c r="EA602" s="1859"/>
      <c r="EB602" s="1420"/>
      <c r="EC602" s="1419" t="str">
        <f t="shared" si="18"/>
        <v xml:space="preserve"> </v>
      </c>
      <c r="ED602" s="1859"/>
      <c r="EE602" s="1859"/>
      <c r="EF602" s="1859"/>
      <c r="EG602" s="1420"/>
      <c r="EH602" s="1419">
        <f t="shared" si="19"/>
        <v>556</v>
      </c>
      <c r="EI602" s="1859"/>
      <c r="EJ602" s="1859"/>
      <c r="EK602" s="1859"/>
      <c r="EL602" s="1420"/>
      <c r="EM602" s="1419" t="str">
        <f t="shared" si="20"/>
        <v xml:space="preserve"> </v>
      </c>
      <c r="EN602" s="1859"/>
      <c r="EO602" s="1859"/>
      <c r="EP602" s="1859"/>
      <c r="EQ602" s="1420"/>
      <c r="ER602" s="1419" t="str">
        <f t="shared" si="21"/>
        <v xml:space="preserve"> </v>
      </c>
      <c r="ES602" s="1859"/>
      <c r="ET602" s="1859"/>
      <c r="EU602" s="1859"/>
      <c r="EV602" s="1420"/>
      <c r="EW602" s="1419" t="str">
        <f t="shared" si="22"/>
        <v xml:space="preserve"> </v>
      </c>
      <c r="EX602" s="1859"/>
      <c r="EY602" s="1859"/>
      <c r="EZ602" s="1859"/>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1</v>
      </c>
      <c r="BF603" s="1420"/>
      <c r="BG603" s="1501">
        <f t="shared" si="2"/>
        <v>3</v>
      </c>
      <c r="BH603" s="1502"/>
      <c r="BI603" s="1419">
        <f t="shared" si="3"/>
        <v>0</v>
      </c>
      <c r="BJ603" s="1420"/>
      <c r="BK603" s="1501">
        <f t="shared" si="4"/>
        <v>0</v>
      </c>
      <c r="BL603" s="1502"/>
      <c r="BM603" s="3"/>
      <c r="BN603" s="1512">
        <f t="shared" si="5"/>
        <v>0</v>
      </c>
      <c r="BO603" s="1513"/>
      <c r="BP603" s="1513"/>
      <c r="BQ603" s="1513"/>
      <c r="BR603" s="1514"/>
      <c r="BS603" s="1395">
        <f t="shared" si="6"/>
        <v>0</v>
      </c>
      <c r="BT603" s="1395"/>
      <c r="BU603" s="1395"/>
      <c r="BV603" s="1395"/>
      <c r="BW603" s="1395"/>
      <c r="BX603" s="1395">
        <f t="shared" si="7"/>
        <v>3</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28">
        <f t="shared" si="11"/>
        <v>0</v>
      </c>
      <c r="CT603" s="1728"/>
      <c r="CU603" s="1728"/>
      <c r="CV603" s="1728"/>
      <c r="CW603" s="1728"/>
      <c r="CX603" s="1728">
        <f t="shared" si="12"/>
        <v>0</v>
      </c>
      <c r="CY603" s="1728"/>
      <c r="CZ603" s="1728"/>
      <c r="DA603" s="1728"/>
      <c r="DB603" s="1728"/>
      <c r="DC603" s="1728">
        <f t="shared" si="13"/>
        <v>0</v>
      </c>
      <c r="DD603" s="1728"/>
      <c r="DE603" s="1728"/>
      <c r="DF603" s="1728"/>
      <c r="DG603" s="1728"/>
      <c r="DH603" s="1728">
        <f t="shared" si="14"/>
        <v>0</v>
      </c>
      <c r="DI603" s="1728"/>
      <c r="DJ603" s="1728"/>
      <c r="DK603" s="1728"/>
      <c r="DL603" s="1728"/>
      <c r="DM603" s="1728">
        <f t="shared" si="15"/>
        <v>0</v>
      </c>
      <c r="DN603" s="1728"/>
      <c r="DO603" s="1728"/>
      <c r="DP603" s="1728"/>
      <c r="DQ603" s="1728"/>
      <c r="DR603" s="1728">
        <f t="shared" si="16"/>
        <v>0</v>
      </c>
      <c r="DS603" s="1728"/>
      <c r="DT603" s="1728"/>
      <c r="DU603" s="1728"/>
      <c r="DV603" s="1728"/>
      <c r="DX603" s="1419" t="str">
        <f t="shared" si="17"/>
        <v xml:space="preserve"> </v>
      </c>
      <c r="DY603" s="1859"/>
      <c r="DZ603" s="1859"/>
      <c r="EA603" s="1859"/>
      <c r="EB603" s="1420"/>
      <c r="EC603" s="1419" t="str">
        <f t="shared" si="18"/>
        <v xml:space="preserve"> </v>
      </c>
      <c r="ED603" s="1859"/>
      <c r="EE603" s="1859"/>
      <c r="EF603" s="1859"/>
      <c r="EG603" s="1420"/>
      <c r="EH603" s="1419">
        <f t="shared" si="19"/>
        <v>691.88</v>
      </c>
      <c r="EI603" s="1859"/>
      <c r="EJ603" s="1859"/>
      <c r="EK603" s="1859"/>
      <c r="EL603" s="1420"/>
      <c r="EM603" s="1419" t="str">
        <f t="shared" si="20"/>
        <v xml:space="preserve"> </v>
      </c>
      <c r="EN603" s="1859"/>
      <c r="EO603" s="1859"/>
      <c r="EP603" s="1859"/>
      <c r="EQ603" s="1420"/>
      <c r="ER603" s="1419" t="str">
        <f t="shared" si="21"/>
        <v xml:space="preserve"> </v>
      </c>
      <c r="ES603" s="1859"/>
      <c r="ET603" s="1859"/>
      <c r="EU603" s="1859"/>
      <c r="EV603" s="1420"/>
      <c r="EW603" s="1419" t="str">
        <f t="shared" si="22"/>
        <v xml:space="preserve"> </v>
      </c>
      <c r="EX603" s="1859"/>
      <c r="EY603" s="1859"/>
      <c r="EZ603" s="1859"/>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1</v>
      </c>
      <c r="BF604" s="1420"/>
      <c r="BG604" s="1501">
        <f t="shared" si="2"/>
        <v>9</v>
      </c>
      <c r="BH604" s="1502"/>
      <c r="BI604" s="1419">
        <f t="shared" si="3"/>
        <v>0</v>
      </c>
      <c r="BJ604" s="1420"/>
      <c r="BK604" s="1501">
        <f t="shared" si="4"/>
        <v>0</v>
      </c>
      <c r="BL604" s="1502"/>
      <c r="BM604" s="3"/>
      <c r="BN604" s="1512">
        <f t="shared" si="5"/>
        <v>0</v>
      </c>
      <c r="BO604" s="1513"/>
      <c r="BP604" s="1513"/>
      <c r="BQ604" s="1513"/>
      <c r="BR604" s="1514"/>
      <c r="BS604" s="1395">
        <f t="shared" si="6"/>
        <v>0</v>
      </c>
      <c r="BT604" s="1395"/>
      <c r="BU604" s="1395"/>
      <c r="BV604" s="1395"/>
      <c r="BW604" s="1395"/>
      <c r="BX604" s="1395">
        <f t="shared" si="7"/>
        <v>9</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28">
        <f t="shared" si="11"/>
        <v>0</v>
      </c>
      <c r="CT604" s="1728"/>
      <c r="CU604" s="1728"/>
      <c r="CV604" s="1728"/>
      <c r="CW604" s="1728"/>
      <c r="CX604" s="1728">
        <f t="shared" si="12"/>
        <v>0</v>
      </c>
      <c r="CY604" s="1728"/>
      <c r="CZ604" s="1728"/>
      <c r="DA604" s="1728"/>
      <c r="DB604" s="1728"/>
      <c r="DC604" s="1728">
        <f t="shared" si="13"/>
        <v>0</v>
      </c>
      <c r="DD604" s="1728"/>
      <c r="DE604" s="1728"/>
      <c r="DF604" s="1728"/>
      <c r="DG604" s="1728"/>
      <c r="DH604" s="1728">
        <f t="shared" si="14"/>
        <v>0</v>
      </c>
      <c r="DI604" s="1728"/>
      <c r="DJ604" s="1728"/>
      <c r="DK604" s="1728"/>
      <c r="DL604" s="1728"/>
      <c r="DM604" s="1728">
        <f t="shared" si="15"/>
        <v>0</v>
      </c>
      <c r="DN604" s="1728"/>
      <c r="DO604" s="1728"/>
      <c r="DP604" s="1728"/>
      <c r="DQ604" s="1728"/>
      <c r="DR604" s="1728">
        <f t="shared" si="16"/>
        <v>0</v>
      </c>
      <c r="DS604" s="1728"/>
      <c r="DT604" s="1728"/>
      <c r="DU604" s="1728"/>
      <c r="DV604" s="1728"/>
      <c r="DX604" s="1419" t="str">
        <f t="shared" si="17"/>
        <v xml:space="preserve"> </v>
      </c>
      <c r="DY604" s="1859"/>
      <c r="DZ604" s="1859"/>
      <c r="EA604" s="1859"/>
      <c r="EB604" s="1420"/>
      <c r="EC604" s="1419" t="str">
        <f t="shared" si="18"/>
        <v xml:space="preserve"> </v>
      </c>
      <c r="ED604" s="1859"/>
      <c r="EE604" s="1859"/>
      <c r="EF604" s="1859"/>
      <c r="EG604" s="1420"/>
      <c r="EH604" s="1419">
        <f t="shared" si="19"/>
        <v>866.88</v>
      </c>
      <c r="EI604" s="1859"/>
      <c r="EJ604" s="1859"/>
      <c r="EK604" s="1859"/>
      <c r="EL604" s="1420"/>
      <c r="EM604" s="1419" t="str">
        <f t="shared" si="20"/>
        <v xml:space="preserve"> </v>
      </c>
      <c r="EN604" s="1859"/>
      <c r="EO604" s="1859"/>
      <c r="EP604" s="1859"/>
      <c r="EQ604" s="1420"/>
      <c r="ER604" s="1419" t="str">
        <f t="shared" si="21"/>
        <v xml:space="preserve"> </v>
      </c>
      <c r="ES604" s="1859"/>
      <c r="ET604" s="1859"/>
      <c r="EU604" s="1859"/>
      <c r="EV604" s="1420"/>
      <c r="EW604" s="1419" t="str">
        <f t="shared" si="22"/>
        <v xml:space="preserve"> </v>
      </c>
      <c r="EX604" s="1859"/>
      <c r="EY604" s="1859"/>
      <c r="EZ604" s="1859"/>
      <c r="FA604" s="1420"/>
    </row>
    <row r="605" spans="1:157" s="4" customFormat="1" ht="12.95" customHeight="1">
      <c r="A605" s="55" t="s">
        <v>364</v>
      </c>
      <c r="B605" t="s">
        <v>473</v>
      </c>
      <c r="C605"/>
      <c r="D605"/>
      <c r="E605"/>
      <c r="F605"/>
      <c r="G605" s="1517">
        <f>C560</f>
        <v>0</v>
      </c>
      <c r="H605" s="1517"/>
      <c r="I605" s="1517"/>
      <c r="J605" s="1517"/>
      <c r="K605" s="1517"/>
      <c r="L605" s="1517"/>
      <c r="M605" s="1517"/>
      <c r="N605" s="1517"/>
      <c r="O605" s="1517"/>
      <c r="P605" s="1517"/>
      <c r="Q605" s="1517"/>
      <c r="R605" s="1517"/>
      <c r="S605"/>
      <c r="T605" s="55" t="s">
        <v>365</v>
      </c>
      <c r="U605" t="s">
        <v>473</v>
      </c>
      <c r="V605"/>
      <c r="W605"/>
      <c r="X605"/>
      <c r="Y605"/>
      <c r="Z605" s="1517">
        <f>C561</f>
        <v>0</v>
      </c>
      <c r="AA605" s="1517"/>
      <c r="AB605" s="1517"/>
      <c r="AC605" s="1517"/>
      <c r="AD605" s="1517"/>
      <c r="AE605" s="1517"/>
      <c r="AF605" s="1517"/>
      <c r="AG605" s="1517"/>
      <c r="AH605" s="1517"/>
      <c r="AI605" s="1517"/>
      <c r="AJ605" s="1517"/>
      <c r="AK605" s="1517"/>
      <c r="AL605"/>
      <c r="AM605"/>
      <c r="AN605"/>
      <c r="AO605"/>
      <c r="AP605"/>
      <c r="AQ605"/>
      <c r="AR605"/>
      <c r="AS605"/>
      <c r="AT605"/>
      <c r="AU605"/>
      <c r="AV605"/>
      <c r="AW605"/>
      <c r="AX605"/>
      <c r="AY605"/>
      <c r="AZ605" s="3"/>
      <c r="BA605" s="3"/>
      <c r="BB605" s="3"/>
      <c r="BC605" s="3"/>
      <c r="BD605" s="3"/>
      <c r="BE605" s="1419">
        <f t="shared" si="1"/>
        <v>0</v>
      </c>
      <c r="BF605" s="1420"/>
      <c r="BG605" s="1501">
        <f t="shared" si="2"/>
        <v>0</v>
      </c>
      <c r="BH605" s="1502"/>
      <c r="BI605" s="1419">
        <f t="shared" si="3"/>
        <v>0</v>
      </c>
      <c r="BJ605" s="1420"/>
      <c r="BK605" s="1501">
        <f t="shared" si="4"/>
        <v>0</v>
      </c>
      <c r="BL605" s="1502"/>
      <c r="BM605" s="3"/>
      <c r="BN605" s="1512">
        <f t="shared" si="5"/>
        <v>0</v>
      </c>
      <c r="BO605" s="1513"/>
      <c r="BP605" s="1513"/>
      <c r="BQ605" s="1513"/>
      <c r="BR605" s="1514"/>
      <c r="BS605" s="1395">
        <f t="shared" si="6"/>
        <v>0</v>
      </c>
      <c r="BT605" s="1395"/>
      <c r="BU605" s="1395"/>
      <c r="BV605" s="1395"/>
      <c r="BW605" s="1395"/>
      <c r="BX605" s="1395">
        <f t="shared" si="7"/>
        <v>10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28">
        <f t="shared" si="11"/>
        <v>0</v>
      </c>
      <c r="CT605" s="1728"/>
      <c r="CU605" s="1728"/>
      <c r="CV605" s="1728"/>
      <c r="CW605" s="1728"/>
      <c r="CX605" s="1728">
        <f t="shared" si="12"/>
        <v>0</v>
      </c>
      <c r="CY605" s="1728"/>
      <c r="CZ605" s="1728"/>
      <c r="DA605" s="1728"/>
      <c r="DB605" s="1728"/>
      <c r="DC605" s="1728">
        <f t="shared" si="13"/>
        <v>0</v>
      </c>
      <c r="DD605" s="1728"/>
      <c r="DE605" s="1728"/>
      <c r="DF605" s="1728"/>
      <c r="DG605" s="1728"/>
      <c r="DH605" s="1728">
        <f t="shared" si="14"/>
        <v>0</v>
      </c>
      <c r="DI605" s="1728"/>
      <c r="DJ605" s="1728"/>
      <c r="DK605" s="1728"/>
      <c r="DL605" s="1728"/>
      <c r="DM605" s="1728">
        <f t="shared" si="15"/>
        <v>0</v>
      </c>
      <c r="DN605" s="1728"/>
      <c r="DO605" s="1728"/>
      <c r="DP605" s="1728"/>
      <c r="DQ605" s="1728"/>
      <c r="DR605" s="1728">
        <f t="shared" si="16"/>
        <v>0</v>
      </c>
      <c r="DS605" s="1728"/>
      <c r="DT605" s="1728"/>
      <c r="DU605" s="1728"/>
      <c r="DV605" s="1728"/>
      <c r="DX605" s="1419" t="str">
        <f t="shared" si="17"/>
        <v xml:space="preserve"> </v>
      </c>
      <c r="DY605" s="1859"/>
      <c r="DZ605" s="1859"/>
      <c r="EA605" s="1859"/>
      <c r="EB605" s="1420"/>
      <c r="EC605" s="1419" t="str">
        <f t="shared" si="18"/>
        <v xml:space="preserve"> </v>
      </c>
      <c r="ED605" s="1859"/>
      <c r="EE605" s="1859"/>
      <c r="EF605" s="1859"/>
      <c r="EG605" s="1420"/>
      <c r="EH605" s="1419">
        <f t="shared" si="19"/>
        <v>1042.8800000000001</v>
      </c>
      <c r="EI605" s="1859"/>
      <c r="EJ605" s="1859"/>
      <c r="EK605" s="1859"/>
      <c r="EL605" s="1420"/>
      <c r="EM605" s="1419" t="str">
        <f t="shared" si="20"/>
        <v xml:space="preserve"> </v>
      </c>
      <c r="EN605" s="1859"/>
      <c r="EO605" s="1859"/>
      <c r="EP605" s="1859"/>
      <c r="EQ605" s="1420"/>
      <c r="ER605" s="1419" t="str">
        <f t="shared" si="21"/>
        <v xml:space="preserve"> </v>
      </c>
      <c r="ES605" s="1859"/>
      <c r="ET605" s="1859"/>
      <c r="EU605" s="1859"/>
      <c r="EV605" s="1420"/>
      <c r="EW605" s="1419" t="str">
        <f t="shared" si="22"/>
        <v xml:space="preserve"> </v>
      </c>
      <c r="EX605" s="1859"/>
      <c r="EY605" s="1859"/>
      <c r="EZ605" s="1859"/>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501">
        <f t="shared" si="2"/>
        <v>0</v>
      </c>
      <c r="BH606" s="1502"/>
      <c r="BI606" s="1419">
        <f t="shared" si="3"/>
        <v>1</v>
      </c>
      <c r="BJ606" s="1420"/>
      <c r="BK606" s="1501">
        <f t="shared" si="4"/>
        <v>5</v>
      </c>
      <c r="BL606" s="1502"/>
      <c r="BM606" s="3"/>
      <c r="BN606" s="1512">
        <f t="shared" si="5"/>
        <v>0</v>
      </c>
      <c r="BO606" s="1513"/>
      <c r="BP606" s="1513"/>
      <c r="BQ606" s="1513"/>
      <c r="BR606" s="1514"/>
      <c r="BS606" s="1395">
        <f t="shared" si="6"/>
        <v>0</v>
      </c>
      <c r="BT606" s="1395"/>
      <c r="BU606" s="1395"/>
      <c r="BV606" s="1395"/>
      <c r="BW606" s="1395"/>
      <c r="BX606" s="1395">
        <f t="shared" si="7"/>
        <v>0</v>
      </c>
      <c r="BY606" s="1395"/>
      <c r="BZ606" s="1395"/>
      <c r="CA606" s="1395"/>
      <c r="CB606" s="1395"/>
      <c r="CC606" s="1395">
        <f t="shared" si="8"/>
        <v>5</v>
      </c>
      <c r="CD606" s="1395"/>
      <c r="CE606" s="1395"/>
      <c r="CF606" s="1395"/>
      <c r="CG606" s="1395"/>
      <c r="CH606" s="1395">
        <f t="shared" si="9"/>
        <v>0</v>
      </c>
      <c r="CI606" s="1395"/>
      <c r="CJ606" s="1395"/>
      <c r="CK606" s="1395"/>
      <c r="CL606" s="1395"/>
      <c r="CM606" s="1395">
        <f t="shared" si="10"/>
        <v>0</v>
      </c>
      <c r="CN606" s="1395"/>
      <c r="CO606" s="1395"/>
      <c r="CP606" s="1395"/>
      <c r="CQ606" s="1395"/>
      <c r="CR606" s="6"/>
      <c r="CS606" s="1728">
        <f t="shared" si="11"/>
        <v>0</v>
      </c>
      <c r="CT606" s="1728"/>
      <c r="CU606" s="1728"/>
      <c r="CV606" s="1728"/>
      <c r="CW606" s="1728"/>
      <c r="CX606" s="1728">
        <f t="shared" si="12"/>
        <v>0</v>
      </c>
      <c r="CY606" s="1728"/>
      <c r="CZ606" s="1728"/>
      <c r="DA606" s="1728"/>
      <c r="DB606" s="1728"/>
      <c r="DC606" s="1728">
        <f t="shared" si="13"/>
        <v>0</v>
      </c>
      <c r="DD606" s="1728"/>
      <c r="DE606" s="1728"/>
      <c r="DF606" s="1728"/>
      <c r="DG606" s="1728"/>
      <c r="DH606" s="1728">
        <f t="shared" si="14"/>
        <v>5</v>
      </c>
      <c r="DI606" s="1728"/>
      <c r="DJ606" s="1728"/>
      <c r="DK606" s="1728"/>
      <c r="DL606" s="1728"/>
      <c r="DM606" s="1728">
        <f t="shared" si="15"/>
        <v>0</v>
      </c>
      <c r="DN606" s="1728"/>
      <c r="DO606" s="1728"/>
      <c r="DP606" s="1728"/>
      <c r="DQ606" s="1728"/>
      <c r="DR606" s="1728">
        <f t="shared" si="16"/>
        <v>0</v>
      </c>
      <c r="DS606" s="1728"/>
      <c r="DT606" s="1728"/>
      <c r="DU606" s="1728"/>
      <c r="DV606" s="1728"/>
      <c r="DX606" s="1419" t="str">
        <f t="shared" si="17"/>
        <v xml:space="preserve"> </v>
      </c>
      <c r="DY606" s="1859"/>
      <c r="DZ606" s="1859"/>
      <c r="EA606" s="1859"/>
      <c r="EB606" s="1420"/>
      <c r="EC606" s="1419" t="str">
        <f t="shared" si="18"/>
        <v xml:space="preserve"> </v>
      </c>
      <c r="ED606" s="1859"/>
      <c r="EE606" s="1859"/>
      <c r="EF606" s="1859"/>
      <c r="EG606" s="1420"/>
      <c r="EH606" s="1419" t="str">
        <f t="shared" si="19"/>
        <v xml:space="preserve"> </v>
      </c>
      <c r="EI606" s="1859"/>
      <c r="EJ606" s="1859"/>
      <c r="EK606" s="1859"/>
      <c r="EL606" s="1420"/>
      <c r="EM606" s="1419">
        <f t="shared" si="20"/>
        <v>437</v>
      </c>
      <c r="EN606" s="1859"/>
      <c r="EO606" s="1859"/>
      <c r="EP606" s="1859"/>
      <c r="EQ606" s="1420"/>
      <c r="ER606" s="1419" t="str">
        <f t="shared" si="21"/>
        <v xml:space="preserve"> </v>
      </c>
      <c r="ES606" s="1859"/>
      <c r="ET606" s="1859"/>
      <c r="EU606" s="1859"/>
      <c r="EV606" s="1420"/>
      <c r="EW606" s="1419" t="str">
        <f t="shared" si="22"/>
        <v xml:space="preserve"> </v>
      </c>
      <c r="EX606" s="1859"/>
      <c r="EY606" s="1859"/>
      <c r="EZ606" s="1859"/>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1</v>
      </c>
      <c r="BF607" s="1420"/>
      <c r="BG607" s="1501">
        <f t="shared" si="2"/>
        <v>2</v>
      </c>
      <c r="BH607" s="1502"/>
      <c r="BI607" s="1419">
        <f t="shared" si="3"/>
        <v>0</v>
      </c>
      <c r="BJ607" s="1420"/>
      <c r="BK607" s="1501">
        <f t="shared" si="4"/>
        <v>0</v>
      </c>
      <c r="BL607" s="1502"/>
      <c r="BM607" s="3"/>
      <c r="BN607" s="1512">
        <f t="shared" si="5"/>
        <v>0</v>
      </c>
      <c r="BO607" s="1513"/>
      <c r="BP607" s="1513"/>
      <c r="BQ607" s="1513"/>
      <c r="BR607" s="1514"/>
      <c r="BS607" s="1395">
        <f t="shared" si="6"/>
        <v>0</v>
      </c>
      <c r="BT607" s="1395"/>
      <c r="BU607" s="1395"/>
      <c r="BV607" s="1395"/>
      <c r="BW607" s="1395"/>
      <c r="BX607" s="1395">
        <f t="shared" si="7"/>
        <v>0</v>
      </c>
      <c r="BY607" s="1395"/>
      <c r="BZ607" s="1395"/>
      <c r="CA607" s="1395"/>
      <c r="CB607" s="1395"/>
      <c r="CC607" s="1395">
        <f t="shared" si="8"/>
        <v>2</v>
      </c>
      <c r="CD607" s="1395"/>
      <c r="CE607" s="1395"/>
      <c r="CF607" s="1395"/>
      <c r="CG607" s="1395"/>
      <c r="CH607" s="1395">
        <f t="shared" si="9"/>
        <v>0</v>
      </c>
      <c r="CI607" s="1395"/>
      <c r="CJ607" s="1395"/>
      <c r="CK607" s="1395"/>
      <c r="CL607" s="1395"/>
      <c r="CM607" s="1395">
        <f t="shared" si="10"/>
        <v>0</v>
      </c>
      <c r="CN607" s="1395"/>
      <c r="CO607" s="1395"/>
      <c r="CP607" s="1395"/>
      <c r="CQ607" s="1395"/>
      <c r="CR607" s="6"/>
      <c r="CS607" s="1728">
        <f t="shared" si="11"/>
        <v>0</v>
      </c>
      <c r="CT607" s="1728"/>
      <c r="CU607" s="1728"/>
      <c r="CV607" s="1728"/>
      <c r="CW607" s="1728"/>
      <c r="CX607" s="1728">
        <f t="shared" si="12"/>
        <v>0</v>
      </c>
      <c r="CY607" s="1728"/>
      <c r="CZ607" s="1728"/>
      <c r="DA607" s="1728"/>
      <c r="DB607" s="1728"/>
      <c r="DC607" s="1728">
        <f t="shared" si="13"/>
        <v>0</v>
      </c>
      <c r="DD607" s="1728"/>
      <c r="DE607" s="1728"/>
      <c r="DF607" s="1728"/>
      <c r="DG607" s="1728"/>
      <c r="DH607" s="1728">
        <f t="shared" si="14"/>
        <v>0</v>
      </c>
      <c r="DI607" s="1728"/>
      <c r="DJ607" s="1728"/>
      <c r="DK607" s="1728"/>
      <c r="DL607" s="1728"/>
      <c r="DM607" s="1728">
        <f t="shared" si="15"/>
        <v>0</v>
      </c>
      <c r="DN607" s="1728"/>
      <c r="DO607" s="1728"/>
      <c r="DP607" s="1728"/>
      <c r="DQ607" s="1728"/>
      <c r="DR607" s="1728">
        <f t="shared" si="16"/>
        <v>0</v>
      </c>
      <c r="DS607" s="1728"/>
      <c r="DT607" s="1728"/>
      <c r="DU607" s="1728"/>
      <c r="DV607" s="1728"/>
      <c r="DX607" s="1419" t="str">
        <f t="shared" si="17"/>
        <v xml:space="preserve"> </v>
      </c>
      <c r="DY607" s="1859"/>
      <c r="DZ607" s="1859"/>
      <c r="EA607" s="1859"/>
      <c r="EB607" s="1420"/>
      <c r="EC607" s="1419" t="str">
        <f t="shared" si="18"/>
        <v xml:space="preserve"> </v>
      </c>
      <c r="ED607" s="1859"/>
      <c r="EE607" s="1859"/>
      <c r="EF607" s="1859"/>
      <c r="EG607" s="1420"/>
      <c r="EH607" s="1419" t="str">
        <f t="shared" si="19"/>
        <v xml:space="preserve"> </v>
      </c>
      <c r="EI607" s="1859"/>
      <c r="EJ607" s="1859"/>
      <c r="EK607" s="1859"/>
      <c r="EL607" s="1420"/>
      <c r="EM607" s="1419">
        <f t="shared" si="20"/>
        <v>640</v>
      </c>
      <c r="EN607" s="1859"/>
      <c r="EO607" s="1859"/>
      <c r="EP607" s="1859"/>
      <c r="EQ607" s="1420"/>
      <c r="ER607" s="1419" t="str">
        <f t="shared" si="21"/>
        <v xml:space="preserve"> </v>
      </c>
      <c r="ES607" s="1859"/>
      <c r="ET607" s="1859"/>
      <c r="EU607" s="1859"/>
      <c r="EV607" s="1420"/>
      <c r="EW607" s="1419" t="str">
        <f t="shared" si="22"/>
        <v xml:space="preserve"> </v>
      </c>
      <c r="EX607" s="1859"/>
      <c r="EY607" s="1859"/>
      <c r="EZ607" s="1859"/>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1</v>
      </c>
      <c r="BF608" s="1420"/>
      <c r="BG608" s="1501">
        <f t="shared" si="2"/>
        <v>1</v>
      </c>
      <c r="BH608" s="1502"/>
      <c r="BI608" s="1419">
        <f t="shared" si="3"/>
        <v>0</v>
      </c>
      <c r="BJ608" s="1420"/>
      <c r="BK608" s="1501">
        <f t="shared" si="4"/>
        <v>0</v>
      </c>
      <c r="BL608" s="1502"/>
      <c r="BM608" s="3"/>
      <c r="BN608" s="1512">
        <f t="shared" si="5"/>
        <v>0</v>
      </c>
      <c r="BO608" s="1513"/>
      <c r="BP608" s="1513"/>
      <c r="BQ608" s="1513"/>
      <c r="BR608" s="1514"/>
      <c r="BS608" s="1395">
        <f t="shared" si="6"/>
        <v>0</v>
      </c>
      <c r="BT608" s="1395"/>
      <c r="BU608" s="1395"/>
      <c r="BV608" s="1395"/>
      <c r="BW608" s="1395"/>
      <c r="BX608" s="1395">
        <f t="shared" si="7"/>
        <v>0</v>
      </c>
      <c r="BY608" s="1395"/>
      <c r="BZ608" s="1395"/>
      <c r="CA608" s="1395"/>
      <c r="CB608" s="1395"/>
      <c r="CC608" s="1395">
        <f t="shared" si="8"/>
        <v>1</v>
      </c>
      <c r="CD608" s="1395"/>
      <c r="CE608" s="1395"/>
      <c r="CF608" s="1395"/>
      <c r="CG608" s="1395"/>
      <c r="CH608" s="1395">
        <f t="shared" si="9"/>
        <v>0</v>
      </c>
      <c r="CI608" s="1395"/>
      <c r="CJ608" s="1395"/>
      <c r="CK608" s="1395"/>
      <c r="CL608" s="1395"/>
      <c r="CM608" s="1395">
        <f t="shared" si="10"/>
        <v>0</v>
      </c>
      <c r="CN608" s="1395"/>
      <c r="CO608" s="1395"/>
      <c r="CP608" s="1395"/>
      <c r="CQ608" s="1395"/>
      <c r="CR608" s="6"/>
      <c r="CS608" s="1728">
        <f t="shared" si="11"/>
        <v>0</v>
      </c>
      <c r="CT608" s="1728"/>
      <c r="CU608" s="1728"/>
      <c r="CV608" s="1728"/>
      <c r="CW608" s="1728"/>
      <c r="CX608" s="1728">
        <f t="shared" si="12"/>
        <v>0</v>
      </c>
      <c r="CY608" s="1728"/>
      <c r="CZ608" s="1728"/>
      <c r="DA608" s="1728"/>
      <c r="DB608" s="1728"/>
      <c r="DC608" s="1728">
        <f t="shared" si="13"/>
        <v>0</v>
      </c>
      <c r="DD608" s="1728"/>
      <c r="DE608" s="1728"/>
      <c r="DF608" s="1728"/>
      <c r="DG608" s="1728"/>
      <c r="DH608" s="1728">
        <f t="shared" si="14"/>
        <v>0</v>
      </c>
      <c r="DI608" s="1728"/>
      <c r="DJ608" s="1728"/>
      <c r="DK608" s="1728"/>
      <c r="DL608" s="1728"/>
      <c r="DM608" s="1728">
        <f t="shared" si="15"/>
        <v>0</v>
      </c>
      <c r="DN608" s="1728"/>
      <c r="DO608" s="1728"/>
      <c r="DP608" s="1728"/>
      <c r="DQ608" s="1728"/>
      <c r="DR608" s="1728">
        <f t="shared" si="16"/>
        <v>0</v>
      </c>
      <c r="DS608" s="1728"/>
      <c r="DT608" s="1728"/>
      <c r="DU608" s="1728"/>
      <c r="DV608" s="1728"/>
      <c r="DX608" s="1419" t="str">
        <f t="shared" si="17"/>
        <v xml:space="preserve"> </v>
      </c>
      <c r="DY608" s="1859"/>
      <c r="DZ608" s="1859"/>
      <c r="EA608" s="1859"/>
      <c r="EB608" s="1420"/>
      <c r="EC608" s="1419" t="str">
        <f t="shared" si="18"/>
        <v xml:space="preserve"> </v>
      </c>
      <c r="ED608" s="1859"/>
      <c r="EE608" s="1859"/>
      <c r="EF608" s="1859"/>
      <c r="EG608" s="1420"/>
      <c r="EH608" s="1419" t="str">
        <f t="shared" si="19"/>
        <v xml:space="preserve"> </v>
      </c>
      <c r="EI608" s="1859"/>
      <c r="EJ608" s="1859"/>
      <c r="EK608" s="1859"/>
      <c r="EL608" s="1420"/>
      <c r="EM608" s="1419">
        <f t="shared" si="20"/>
        <v>799.88</v>
      </c>
      <c r="EN608" s="1859"/>
      <c r="EO608" s="1859"/>
      <c r="EP608" s="1859"/>
      <c r="EQ608" s="1420"/>
      <c r="ER608" s="1419" t="str">
        <f t="shared" si="21"/>
        <v xml:space="preserve"> </v>
      </c>
      <c r="ES608" s="1859"/>
      <c r="ET608" s="1859"/>
      <c r="EU608" s="1859"/>
      <c r="EV608" s="1420"/>
      <c r="EW608" s="1419" t="str">
        <f t="shared" si="22"/>
        <v xml:space="preserve"> </v>
      </c>
      <c r="EX608" s="1859"/>
      <c r="EY608" s="1859"/>
      <c r="EZ608" s="1859"/>
      <c r="FA608" s="1420"/>
    </row>
    <row r="609" spans="1:157" ht="12.95" customHeight="1">
      <c r="B609" t="s">
        <v>318</v>
      </c>
      <c r="G609" s="1436"/>
      <c r="H609" s="1436"/>
      <c r="I609" s="1436"/>
      <c r="J609" s="1436"/>
      <c r="K609" s="1436"/>
      <c r="L609" s="1436"/>
      <c r="O609" s="33" t="s">
        <v>208</v>
      </c>
      <c r="P609" s="1465"/>
      <c r="Q609" s="1465"/>
      <c r="R609" s="1465"/>
      <c r="U609" t="s">
        <v>318</v>
      </c>
      <c r="Z609" s="1436"/>
      <c r="AA609" s="1436"/>
      <c r="AB609" s="1436"/>
      <c r="AC609" s="1436"/>
      <c r="AD609" s="1436"/>
      <c r="AE609" s="1436"/>
      <c r="AH609" s="33" t="s">
        <v>208</v>
      </c>
      <c r="AI609" s="1465"/>
      <c r="AJ609" s="1465"/>
      <c r="AK609" s="1465"/>
      <c r="AZ609" s="3"/>
      <c r="BA609" s="3"/>
      <c r="BB609" s="3"/>
      <c r="BC609" s="3"/>
      <c r="BD609" s="3"/>
      <c r="BE609" s="1419">
        <f t="shared" si="1"/>
        <v>1</v>
      </c>
      <c r="BF609" s="1420"/>
      <c r="BG609" s="1501">
        <f t="shared" si="2"/>
        <v>5</v>
      </c>
      <c r="BH609" s="1502"/>
      <c r="BI609" s="1419">
        <f t="shared" si="3"/>
        <v>0</v>
      </c>
      <c r="BJ609" s="1420"/>
      <c r="BK609" s="1501">
        <f t="shared" si="4"/>
        <v>0</v>
      </c>
      <c r="BL609" s="1502"/>
      <c r="BM609" s="3"/>
      <c r="BN609" s="1512">
        <f t="shared" si="5"/>
        <v>0</v>
      </c>
      <c r="BO609" s="1513"/>
      <c r="BP609" s="1513"/>
      <c r="BQ609" s="1513"/>
      <c r="BR609" s="1514"/>
      <c r="BS609" s="1395">
        <f t="shared" si="6"/>
        <v>0</v>
      </c>
      <c r="BT609" s="1395"/>
      <c r="BU609" s="1395"/>
      <c r="BV609" s="1395"/>
      <c r="BW609" s="1395"/>
      <c r="BX609" s="1395">
        <f t="shared" si="7"/>
        <v>0</v>
      </c>
      <c r="BY609" s="1395"/>
      <c r="BZ609" s="1395"/>
      <c r="CA609" s="1395"/>
      <c r="CB609" s="1395"/>
      <c r="CC609" s="1395">
        <f t="shared" si="8"/>
        <v>5</v>
      </c>
      <c r="CD609" s="1395"/>
      <c r="CE609" s="1395"/>
      <c r="CF609" s="1395"/>
      <c r="CG609" s="1395"/>
      <c r="CH609" s="1395">
        <f t="shared" si="9"/>
        <v>0</v>
      </c>
      <c r="CI609" s="1395"/>
      <c r="CJ609" s="1395"/>
      <c r="CK609" s="1395"/>
      <c r="CL609" s="1395"/>
      <c r="CM609" s="1395">
        <f t="shared" si="10"/>
        <v>0</v>
      </c>
      <c r="CN609" s="1395"/>
      <c r="CO609" s="1395"/>
      <c r="CP609" s="1395"/>
      <c r="CQ609" s="1395"/>
      <c r="CR609" s="6"/>
      <c r="CS609" s="1728">
        <f t="shared" si="11"/>
        <v>0</v>
      </c>
      <c r="CT609" s="1728"/>
      <c r="CU609" s="1728"/>
      <c r="CV609" s="1728"/>
      <c r="CW609" s="1728"/>
      <c r="CX609" s="1728">
        <f t="shared" si="12"/>
        <v>0</v>
      </c>
      <c r="CY609" s="1728"/>
      <c r="CZ609" s="1728"/>
      <c r="DA609" s="1728"/>
      <c r="DB609" s="1728"/>
      <c r="DC609" s="1728">
        <f t="shared" si="13"/>
        <v>0</v>
      </c>
      <c r="DD609" s="1728"/>
      <c r="DE609" s="1728"/>
      <c r="DF609" s="1728"/>
      <c r="DG609" s="1728"/>
      <c r="DH609" s="1728">
        <f t="shared" si="14"/>
        <v>0</v>
      </c>
      <c r="DI609" s="1728"/>
      <c r="DJ609" s="1728"/>
      <c r="DK609" s="1728"/>
      <c r="DL609" s="1728"/>
      <c r="DM609" s="1728">
        <f t="shared" si="15"/>
        <v>0</v>
      </c>
      <c r="DN609" s="1728"/>
      <c r="DO609" s="1728"/>
      <c r="DP609" s="1728"/>
      <c r="DQ609" s="1728"/>
      <c r="DR609" s="1728">
        <f t="shared" si="16"/>
        <v>0</v>
      </c>
      <c r="DS609" s="1728"/>
      <c r="DT609" s="1728"/>
      <c r="DU609" s="1728"/>
      <c r="DV609" s="1728"/>
      <c r="DX609" s="1419" t="str">
        <f t="shared" si="17"/>
        <v xml:space="preserve"> </v>
      </c>
      <c r="DY609" s="1859"/>
      <c r="DZ609" s="1859"/>
      <c r="EA609" s="1859"/>
      <c r="EB609" s="1420"/>
      <c r="EC609" s="1419" t="str">
        <f t="shared" si="18"/>
        <v xml:space="preserve"> </v>
      </c>
      <c r="ED609" s="1859"/>
      <c r="EE609" s="1859"/>
      <c r="EF609" s="1859"/>
      <c r="EG609" s="1420"/>
      <c r="EH609" s="1419" t="str">
        <f t="shared" si="19"/>
        <v xml:space="preserve"> </v>
      </c>
      <c r="EI609" s="1859"/>
      <c r="EJ609" s="1859"/>
      <c r="EK609" s="1859"/>
      <c r="EL609" s="1420"/>
      <c r="EM609" s="1419">
        <f t="shared" si="20"/>
        <v>1002.88</v>
      </c>
      <c r="EN609" s="1859"/>
      <c r="EO609" s="1859"/>
      <c r="EP609" s="1859"/>
      <c r="EQ609" s="1420"/>
      <c r="ER609" s="1419" t="str">
        <f t="shared" si="21"/>
        <v xml:space="preserve"> </v>
      </c>
      <c r="ES609" s="1859"/>
      <c r="ET609" s="1859"/>
      <c r="EU609" s="1859"/>
      <c r="EV609" s="1420"/>
      <c r="EW609" s="1419" t="str">
        <f t="shared" si="22"/>
        <v xml:space="preserve"> </v>
      </c>
      <c r="EX609" s="1859"/>
      <c r="EY609" s="1859"/>
      <c r="EZ609" s="1859"/>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501">
        <f t="shared" si="2"/>
        <v>0</v>
      </c>
      <c r="BH610" s="1502"/>
      <c r="BI610" s="1419">
        <f t="shared" si="3"/>
        <v>0</v>
      </c>
      <c r="BJ610" s="1420"/>
      <c r="BK610" s="1501">
        <f t="shared" si="4"/>
        <v>0</v>
      </c>
      <c r="BL610" s="1502"/>
      <c r="BM610" s="3"/>
      <c r="BN610" s="1512">
        <f t="shared" si="5"/>
        <v>0</v>
      </c>
      <c r="BO610" s="1513"/>
      <c r="BP610" s="1513"/>
      <c r="BQ610" s="1513"/>
      <c r="BR610" s="1514"/>
      <c r="BS610" s="1395">
        <f t="shared" si="6"/>
        <v>0</v>
      </c>
      <c r="BT610" s="1395"/>
      <c r="BU610" s="1395"/>
      <c r="BV610" s="1395"/>
      <c r="BW610" s="1395"/>
      <c r="BX610" s="1395">
        <f t="shared" si="7"/>
        <v>0</v>
      </c>
      <c r="BY610" s="1395"/>
      <c r="BZ610" s="1395"/>
      <c r="CA610" s="1395"/>
      <c r="CB610" s="1395"/>
      <c r="CC610" s="1395">
        <f t="shared" si="8"/>
        <v>5</v>
      </c>
      <c r="CD610" s="1395"/>
      <c r="CE610" s="1395"/>
      <c r="CF610" s="1395"/>
      <c r="CG610" s="1395"/>
      <c r="CH610" s="1395">
        <f t="shared" si="9"/>
        <v>0</v>
      </c>
      <c r="CI610" s="1395"/>
      <c r="CJ610" s="1395"/>
      <c r="CK610" s="1395"/>
      <c r="CL610" s="1395"/>
      <c r="CM610" s="1395">
        <f t="shared" si="10"/>
        <v>0</v>
      </c>
      <c r="CN610" s="1395"/>
      <c r="CO610" s="1395"/>
      <c r="CP610" s="1395"/>
      <c r="CQ610" s="1395"/>
      <c r="CR610" s="6"/>
      <c r="CS610" s="1728">
        <f t="shared" si="11"/>
        <v>0</v>
      </c>
      <c r="CT610" s="1728"/>
      <c r="CU610" s="1728"/>
      <c r="CV610" s="1728"/>
      <c r="CW610" s="1728"/>
      <c r="CX610" s="1728">
        <f t="shared" si="12"/>
        <v>0</v>
      </c>
      <c r="CY610" s="1728"/>
      <c r="CZ610" s="1728"/>
      <c r="DA610" s="1728"/>
      <c r="DB610" s="1728"/>
      <c r="DC610" s="1728">
        <f t="shared" si="13"/>
        <v>0</v>
      </c>
      <c r="DD610" s="1728"/>
      <c r="DE610" s="1728"/>
      <c r="DF610" s="1728"/>
      <c r="DG610" s="1728"/>
      <c r="DH610" s="1728">
        <f t="shared" si="14"/>
        <v>0</v>
      </c>
      <c r="DI610" s="1728"/>
      <c r="DJ610" s="1728"/>
      <c r="DK610" s="1728"/>
      <c r="DL610" s="1728"/>
      <c r="DM610" s="1728">
        <f t="shared" si="15"/>
        <v>0</v>
      </c>
      <c r="DN610" s="1728"/>
      <c r="DO610" s="1728"/>
      <c r="DP610" s="1728"/>
      <c r="DQ610" s="1728"/>
      <c r="DR610" s="1728">
        <f t="shared" si="16"/>
        <v>0</v>
      </c>
      <c r="DS610" s="1728"/>
      <c r="DT610" s="1728"/>
      <c r="DU610" s="1728"/>
      <c r="DV610" s="1728"/>
      <c r="DX610" s="1419" t="str">
        <f t="shared" si="17"/>
        <v xml:space="preserve"> </v>
      </c>
      <c r="DY610" s="1859"/>
      <c r="DZ610" s="1859"/>
      <c r="EA610" s="1859"/>
      <c r="EB610" s="1420"/>
      <c r="EC610" s="1419" t="str">
        <f t="shared" si="18"/>
        <v xml:space="preserve"> </v>
      </c>
      <c r="ED610" s="1859"/>
      <c r="EE610" s="1859"/>
      <c r="EF610" s="1859"/>
      <c r="EG610" s="1420"/>
      <c r="EH610" s="1419" t="str">
        <f t="shared" si="19"/>
        <v xml:space="preserve"> </v>
      </c>
      <c r="EI610" s="1859"/>
      <c r="EJ610" s="1859"/>
      <c r="EK610" s="1859"/>
      <c r="EL610" s="1420"/>
      <c r="EM610" s="1419">
        <f t="shared" si="20"/>
        <v>1204.8800000000001</v>
      </c>
      <c r="EN610" s="1859"/>
      <c r="EO610" s="1859"/>
      <c r="EP610" s="1859"/>
      <c r="EQ610" s="1420"/>
      <c r="ER610" s="1419" t="str">
        <f t="shared" si="21"/>
        <v xml:space="preserve"> </v>
      </c>
      <c r="ES610" s="1859"/>
      <c r="ET610" s="1859"/>
      <c r="EU610" s="1859"/>
      <c r="EV610" s="1420"/>
      <c r="EW610" s="1419" t="str">
        <f t="shared" si="22"/>
        <v xml:space="preserve"> </v>
      </c>
      <c r="EX610" s="1859"/>
      <c r="EY610" s="1859"/>
      <c r="EZ610" s="1859"/>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501">
        <f t="shared" si="2"/>
        <v>0</v>
      </c>
      <c r="BH611" s="1502"/>
      <c r="BI611" s="1419">
        <f t="shared" si="3"/>
        <v>0</v>
      </c>
      <c r="BJ611" s="1420"/>
      <c r="BK611" s="1501">
        <f t="shared" si="4"/>
        <v>0</v>
      </c>
      <c r="BL611" s="1502"/>
      <c r="BM611" s="3"/>
      <c r="BN611" s="1512">
        <f t="shared" si="5"/>
        <v>0</v>
      </c>
      <c r="BO611" s="1513"/>
      <c r="BP611" s="1513"/>
      <c r="BQ611" s="1513"/>
      <c r="BR611" s="1514"/>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28">
        <f t="shared" si="11"/>
        <v>0</v>
      </c>
      <c r="CT611" s="1728"/>
      <c r="CU611" s="1728"/>
      <c r="CV611" s="1728"/>
      <c r="CW611" s="1728"/>
      <c r="CX611" s="1728">
        <f t="shared" si="12"/>
        <v>0</v>
      </c>
      <c r="CY611" s="1728"/>
      <c r="CZ611" s="1728"/>
      <c r="DA611" s="1728"/>
      <c r="DB611" s="1728"/>
      <c r="DC611" s="1728">
        <f t="shared" si="13"/>
        <v>0</v>
      </c>
      <c r="DD611" s="1728"/>
      <c r="DE611" s="1728"/>
      <c r="DF611" s="1728"/>
      <c r="DG611" s="1728"/>
      <c r="DH611" s="1728">
        <f t="shared" si="14"/>
        <v>0</v>
      </c>
      <c r="DI611" s="1728"/>
      <c r="DJ611" s="1728"/>
      <c r="DK611" s="1728"/>
      <c r="DL611" s="1728"/>
      <c r="DM611" s="1728">
        <f t="shared" si="15"/>
        <v>0</v>
      </c>
      <c r="DN611" s="1728"/>
      <c r="DO611" s="1728"/>
      <c r="DP611" s="1728"/>
      <c r="DQ611" s="1728"/>
      <c r="DR611" s="1728">
        <f t="shared" si="16"/>
        <v>0</v>
      </c>
      <c r="DS611" s="1728"/>
      <c r="DT611" s="1728"/>
      <c r="DU611" s="1728"/>
      <c r="DV611" s="1728"/>
      <c r="DX611" s="1419" t="str">
        <f t="shared" si="17"/>
        <v xml:space="preserve"> </v>
      </c>
      <c r="DY611" s="1859"/>
      <c r="DZ611" s="1859"/>
      <c r="EA611" s="1859"/>
      <c r="EB611" s="1420"/>
      <c r="EC611" s="1419" t="str">
        <f t="shared" si="18"/>
        <v xml:space="preserve"> </v>
      </c>
      <c r="ED611" s="1859"/>
      <c r="EE611" s="1859"/>
      <c r="EF611" s="1859"/>
      <c r="EG611" s="1420"/>
      <c r="EH611" s="1419" t="str">
        <f t="shared" si="19"/>
        <v xml:space="preserve"> </v>
      </c>
      <c r="EI611" s="1859"/>
      <c r="EJ611" s="1859"/>
      <c r="EK611" s="1859"/>
      <c r="EL611" s="1420"/>
      <c r="EM611" s="1419" t="str">
        <f t="shared" si="20"/>
        <v xml:space="preserve"> </v>
      </c>
      <c r="EN611" s="1859"/>
      <c r="EO611" s="1859"/>
      <c r="EP611" s="1859"/>
      <c r="EQ611" s="1420"/>
      <c r="ER611" s="1419" t="str">
        <f t="shared" si="21"/>
        <v xml:space="preserve"> </v>
      </c>
      <c r="ES611" s="1859"/>
      <c r="ET611" s="1859"/>
      <c r="EU611" s="1859"/>
      <c r="EV611" s="1420"/>
      <c r="EW611" s="1419" t="str">
        <f t="shared" si="22"/>
        <v xml:space="preserve"> </v>
      </c>
      <c r="EX611" s="1859"/>
      <c r="EY611" s="1859"/>
      <c r="EZ611" s="1859"/>
      <c r="FA611" s="1420"/>
    </row>
    <row r="612" spans="1:157" ht="12.95" customHeight="1">
      <c r="AZ612" s="3"/>
      <c r="BA612" s="3"/>
      <c r="BB612" s="3"/>
      <c r="BC612" s="3"/>
      <c r="BD612" s="3"/>
      <c r="BE612" s="1419">
        <f t="shared" si="1"/>
        <v>0</v>
      </c>
      <c r="BF612" s="1420"/>
      <c r="BG612" s="1501">
        <f t="shared" si="2"/>
        <v>0</v>
      </c>
      <c r="BH612" s="1502"/>
      <c r="BI612" s="1419">
        <f t="shared" si="3"/>
        <v>0</v>
      </c>
      <c r="BJ612" s="1420"/>
      <c r="BK612" s="1501">
        <f t="shared" si="4"/>
        <v>0</v>
      </c>
      <c r="BL612" s="1502"/>
      <c r="BM612" s="3"/>
      <c r="BN612" s="1512">
        <f t="shared" si="5"/>
        <v>0</v>
      </c>
      <c r="BO612" s="1513"/>
      <c r="BP612" s="1513"/>
      <c r="BQ612" s="1513"/>
      <c r="BR612" s="1514"/>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28">
        <f t="shared" si="11"/>
        <v>0</v>
      </c>
      <c r="CT612" s="1728"/>
      <c r="CU612" s="1728"/>
      <c r="CV612" s="1728"/>
      <c r="CW612" s="1728"/>
      <c r="CX612" s="1728">
        <f t="shared" si="12"/>
        <v>0</v>
      </c>
      <c r="CY612" s="1728"/>
      <c r="CZ612" s="1728"/>
      <c r="DA612" s="1728"/>
      <c r="DB612" s="1728"/>
      <c r="DC612" s="1728">
        <f t="shared" si="13"/>
        <v>0</v>
      </c>
      <c r="DD612" s="1728"/>
      <c r="DE612" s="1728"/>
      <c r="DF612" s="1728"/>
      <c r="DG612" s="1728"/>
      <c r="DH612" s="1728">
        <f t="shared" si="14"/>
        <v>0</v>
      </c>
      <c r="DI612" s="1728"/>
      <c r="DJ612" s="1728"/>
      <c r="DK612" s="1728"/>
      <c r="DL612" s="1728"/>
      <c r="DM612" s="1728">
        <f t="shared" si="15"/>
        <v>0</v>
      </c>
      <c r="DN612" s="1728"/>
      <c r="DO612" s="1728"/>
      <c r="DP612" s="1728"/>
      <c r="DQ612" s="1728"/>
      <c r="DR612" s="1728">
        <f t="shared" si="16"/>
        <v>0</v>
      </c>
      <c r="DS612" s="1728"/>
      <c r="DT612" s="1728"/>
      <c r="DU612" s="1728"/>
      <c r="DV612" s="1728"/>
      <c r="DX612" s="1419" t="str">
        <f t="shared" si="17"/>
        <v xml:space="preserve"> </v>
      </c>
      <c r="DY612" s="1859"/>
      <c r="DZ612" s="1859"/>
      <c r="EA612" s="1859"/>
      <c r="EB612" s="1420"/>
      <c r="EC612" s="1419" t="str">
        <f t="shared" si="18"/>
        <v xml:space="preserve"> </v>
      </c>
      <c r="ED612" s="1859"/>
      <c r="EE612" s="1859"/>
      <c r="EF612" s="1859"/>
      <c r="EG612" s="1420"/>
      <c r="EH612" s="1419" t="str">
        <f t="shared" si="19"/>
        <v xml:space="preserve"> </v>
      </c>
      <c r="EI612" s="1859"/>
      <c r="EJ612" s="1859"/>
      <c r="EK612" s="1859"/>
      <c r="EL612" s="1420"/>
      <c r="EM612" s="1419" t="str">
        <f t="shared" si="20"/>
        <v xml:space="preserve"> </v>
      </c>
      <c r="EN612" s="1859"/>
      <c r="EO612" s="1859"/>
      <c r="EP612" s="1859"/>
      <c r="EQ612" s="1420"/>
      <c r="ER612" s="1419" t="str">
        <f t="shared" si="21"/>
        <v xml:space="preserve"> </v>
      </c>
      <c r="ES612" s="1859"/>
      <c r="ET612" s="1859"/>
      <c r="EU612" s="1859"/>
      <c r="EV612" s="1420"/>
      <c r="EW612" s="1419" t="str">
        <f t="shared" si="22"/>
        <v xml:space="preserve"> </v>
      </c>
      <c r="EX612" s="1859"/>
      <c r="EY612" s="1859"/>
      <c r="EZ612" s="1859"/>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501">
        <f t="shared" si="2"/>
        <v>0</v>
      </c>
      <c r="BH613" s="1502"/>
      <c r="BI613" s="1419">
        <f t="shared" si="3"/>
        <v>0</v>
      </c>
      <c r="BJ613" s="1420"/>
      <c r="BK613" s="1501">
        <f t="shared" si="4"/>
        <v>0</v>
      </c>
      <c r="BL613" s="1502"/>
      <c r="BM613" s="3"/>
      <c r="BN613" s="1512">
        <f t="shared" si="5"/>
        <v>0</v>
      </c>
      <c r="BO613" s="1513"/>
      <c r="BP613" s="1513"/>
      <c r="BQ613" s="1513"/>
      <c r="BR613" s="1514"/>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28">
        <f t="shared" si="11"/>
        <v>0</v>
      </c>
      <c r="CT613" s="1728"/>
      <c r="CU613" s="1728"/>
      <c r="CV613" s="1728"/>
      <c r="CW613" s="1728"/>
      <c r="CX613" s="1728">
        <f t="shared" si="12"/>
        <v>0</v>
      </c>
      <c r="CY613" s="1728"/>
      <c r="CZ613" s="1728"/>
      <c r="DA613" s="1728"/>
      <c r="DB613" s="1728"/>
      <c r="DC613" s="1728">
        <f t="shared" si="13"/>
        <v>0</v>
      </c>
      <c r="DD613" s="1728"/>
      <c r="DE613" s="1728"/>
      <c r="DF613" s="1728"/>
      <c r="DG613" s="1728"/>
      <c r="DH613" s="1728">
        <f t="shared" si="14"/>
        <v>0</v>
      </c>
      <c r="DI613" s="1728"/>
      <c r="DJ613" s="1728"/>
      <c r="DK613" s="1728"/>
      <c r="DL613" s="1728"/>
      <c r="DM613" s="1728">
        <f t="shared" si="15"/>
        <v>0</v>
      </c>
      <c r="DN613" s="1728"/>
      <c r="DO613" s="1728"/>
      <c r="DP613" s="1728"/>
      <c r="DQ613" s="1728"/>
      <c r="DR613" s="1728">
        <f t="shared" si="16"/>
        <v>0</v>
      </c>
      <c r="DS613" s="1728"/>
      <c r="DT613" s="1728"/>
      <c r="DU613" s="1728"/>
      <c r="DV613" s="1728"/>
      <c r="DX613" s="1419" t="str">
        <f t="shared" si="17"/>
        <v xml:space="preserve"> </v>
      </c>
      <c r="DY613" s="1859"/>
      <c r="DZ613" s="1859"/>
      <c r="EA613" s="1859"/>
      <c r="EB613" s="1420"/>
      <c r="EC613" s="1419" t="str">
        <f t="shared" si="18"/>
        <v xml:space="preserve"> </v>
      </c>
      <c r="ED613" s="1859"/>
      <c r="EE613" s="1859"/>
      <c r="EF613" s="1859"/>
      <c r="EG613" s="1420"/>
      <c r="EH613" s="1419" t="str">
        <f t="shared" si="19"/>
        <v xml:space="preserve"> </v>
      </c>
      <c r="EI613" s="1859"/>
      <c r="EJ613" s="1859"/>
      <c r="EK613" s="1859"/>
      <c r="EL613" s="1420"/>
      <c r="EM613" s="1419" t="str">
        <f t="shared" si="20"/>
        <v xml:space="preserve"> </v>
      </c>
      <c r="EN613" s="1859"/>
      <c r="EO613" s="1859"/>
      <c r="EP613" s="1859"/>
      <c r="EQ613" s="1420"/>
      <c r="ER613" s="1419" t="str">
        <f t="shared" si="21"/>
        <v xml:space="preserve"> </v>
      </c>
      <c r="ES613" s="1859"/>
      <c r="ET613" s="1859"/>
      <c r="EU613" s="1859"/>
      <c r="EV613" s="1420"/>
      <c r="EW613" s="1419" t="str">
        <f t="shared" si="22"/>
        <v xml:space="preserve"> </v>
      </c>
      <c r="EX613" s="1859"/>
      <c r="EY613" s="1859"/>
      <c r="EZ613" s="1859"/>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501">
        <f t="shared" si="2"/>
        <v>0</v>
      </c>
      <c r="BH614" s="1502"/>
      <c r="BI614" s="1419">
        <f t="shared" si="3"/>
        <v>0</v>
      </c>
      <c r="BJ614" s="1420"/>
      <c r="BK614" s="1501">
        <f t="shared" si="4"/>
        <v>0</v>
      </c>
      <c r="BL614" s="1502"/>
      <c r="BM614" s="3"/>
      <c r="BN614" s="1512">
        <f t="shared" si="5"/>
        <v>0</v>
      </c>
      <c r="BO614" s="1513"/>
      <c r="BP614" s="1513"/>
      <c r="BQ614" s="1513"/>
      <c r="BR614" s="1514"/>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28">
        <f t="shared" si="11"/>
        <v>0</v>
      </c>
      <c r="CT614" s="1728"/>
      <c r="CU614" s="1728"/>
      <c r="CV614" s="1728"/>
      <c r="CW614" s="1728"/>
      <c r="CX614" s="1728">
        <f t="shared" si="12"/>
        <v>0</v>
      </c>
      <c r="CY614" s="1728"/>
      <c r="CZ614" s="1728"/>
      <c r="DA614" s="1728"/>
      <c r="DB614" s="1728"/>
      <c r="DC614" s="1728">
        <f t="shared" si="13"/>
        <v>0</v>
      </c>
      <c r="DD614" s="1728"/>
      <c r="DE614" s="1728"/>
      <c r="DF614" s="1728"/>
      <c r="DG614" s="1728"/>
      <c r="DH614" s="1728">
        <f t="shared" si="14"/>
        <v>0</v>
      </c>
      <c r="DI614" s="1728"/>
      <c r="DJ614" s="1728"/>
      <c r="DK614" s="1728"/>
      <c r="DL614" s="1728"/>
      <c r="DM614" s="1728">
        <f t="shared" si="15"/>
        <v>0</v>
      </c>
      <c r="DN614" s="1728"/>
      <c r="DO614" s="1728"/>
      <c r="DP614" s="1728"/>
      <c r="DQ614" s="1728"/>
      <c r="DR614" s="1728">
        <f t="shared" si="16"/>
        <v>0</v>
      </c>
      <c r="DS614" s="1728"/>
      <c r="DT614" s="1728"/>
      <c r="DU614" s="1728"/>
      <c r="DV614" s="1728"/>
      <c r="DX614" s="1419" t="str">
        <f t="shared" si="17"/>
        <v xml:space="preserve"> </v>
      </c>
      <c r="DY614" s="1859"/>
      <c r="DZ614" s="1859"/>
      <c r="EA614" s="1859"/>
      <c r="EB614" s="1420"/>
      <c r="EC614" s="1419" t="str">
        <f t="shared" si="18"/>
        <v xml:space="preserve"> </v>
      </c>
      <c r="ED614" s="1859"/>
      <c r="EE614" s="1859"/>
      <c r="EF614" s="1859"/>
      <c r="EG614" s="1420"/>
      <c r="EH614" s="1419" t="str">
        <f t="shared" si="19"/>
        <v xml:space="preserve"> </v>
      </c>
      <c r="EI614" s="1859"/>
      <c r="EJ614" s="1859"/>
      <c r="EK614" s="1859"/>
      <c r="EL614" s="1420"/>
      <c r="EM614" s="1419" t="str">
        <f t="shared" si="20"/>
        <v xml:space="preserve"> </v>
      </c>
      <c r="EN614" s="1859"/>
      <c r="EO614" s="1859"/>
      <c r="EP614" s="1859"/>
      <c r="EQ614" s="1420"/>
      <c r="ER614" s="1419" t="str">
        <f t="shared" si="21"/>
        <v xml:space="preserve"> </v>
      </c>
      <c r="ES614" s="1859"/>
      <c r="ET614" s="1859"/>
      <c r="EU614" s="1859"/>
      <c r="EV614" s="1420"/>
      <c r="EW614" s="1419" t="str">
        <f t="shared" si="22"/>
        <v xml:space="preserve"> </v>
      </c>
      <c r="EX614" s="1859"/>
      <c r="EY614" s="1859"/>
      <c r="EZ614" s="1859"/>
      <c r="FA614" s="1420"/>
    </row>
    <row r="615" spans="1:157" ht="12.95" customHeight="1">
      <c r="AZ615" s="3"/>
      <c r="BA615" s="3"/>
      <c r="BB615" s="3"/>
      <c r="BC615" s="3"/>
      <c r="BD615" s="3"/>
      <c r="BE615" s="1419">
        <f t="shared" si="1"/>
        <v>0</v>
      </c>
      <c r="BF615" s="1420"/>
      <c r="BG615" s="1501">
        <f t="shared" si="2"/>
        <v>0</v>
      </c>
      <c r="BH615" s="1502"/>
      <c r="BI615" s="1419">
        <f t="shared" si="3"/>
        <v>0</v>
      </c>
      <c r="BJ615" s="1420"/>
      <c r="BK615" s="1501">
        <f t="shared" si="4"/>
        <v>0</v>
      </c>
      <c r="BL615" s="1502"/>
      <c r="BM615" s="3"/>
      <c r="BN615" s="1512">
        <f t="shared" si="5"/>
        <v>0</v>
      </c>
      <c r="BO615" s="1513"/>
      <c r="BP615" s="1513"/>
      <c r="BQ615" s="1513"/>
      <c r="BR615" s="1514"/>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28">
        <f t="shared" si="11"/>
        <v>0</v>
      </c>
      <c r="CT615" s="1728"/>
      <c r="CU615" s="1728"/>
      <c r="CV615" s="1728"/>
      <c r="CW615" s="1728"/>
      <c r="CX615" s="1728">
        <f t="shared" si="12"/>
        <v>0</v>
      </c>
      <c r="CY615" s="1728"/>
      <c r="CZ615" s="1728"/>
      <c r="DA615" s="1728"/>
      <c r="DB615" s="1728"/>
      <c r="DC615" s="1728">
        <f t="shared" si="13"/>
        <v>0</v>
      </c>
      <c r="DD615" s="1728"/>
      <c r="DE615" s="1728"/>
      <c r="DF615" s="1728"/>
      <c r="DG615" s="1728"/>
      <c r="DH615" s="1728">
        <f t="shared" si="14"/>
        <v>0</v>
      </c>
      <c r="DI615" s="1728"/>
      <c r="DJ615" s="1728"/>
      <c r="DK615" s="1728"/>
      <c r="DL615" s="1728"/>
      <c r="DM615" s="1728">
        <f t="shared" si="15"/>
        <v>0</v>
      </c>
      <c r="DN615" s="1728"/>
      <c r="DO615" s="1728"/>
      <c r="DP615" s="1728"/>
      <c r="DQ615" s="1728"/>
      <c r="DR615" s="1728">
        <f t="shared" si="16"/>
        <v>0</v>
      </c>
      <c r="DS615" s="1728"/>
      <c r="DT615" s="1728"/>
      <c r="DU615" s="1728"/>
      <c r="DV615" s="1728"/>
      <c r="DX615" s="1419" t="str">
        <f t="shared" si="17"/>
        <v xml:space="preserve"> </v>
      </c>
      <c r="DY615" s="1859"/>
      <c r="DZ615" s="1859"/>
      <c r="EA615" s="1859"/>
      <c r="EB615" s="1420"/>
      <c r="EC615" s="1419" t="str">
        <f t="shared" si="18"/>
        <v xml:space="preserve"> </v>
      </c>
      <c r="ED615" s="1859"/>
      <c r="EE615" s="1859"/>
      <c r="EF615" s="1859"/>
      <c r="EG615" s="1420"/>
      <c r="EH615" s="1419" t="str">
        <f t="shared" si="19"/>
        <v xml:space="preserve"> </v>
      </c>
      <c r="EI615" s="1859"/>
      <c r="EJ615" s="1859"/>
      <c r="EK615" s="1859"/>
      <c r="EL615" s="1420"/>
      <c r="EM615" s="1419" t="str">
        <f t="shared" si="20"/>
        <v xml:space="preserve"> </v>
      </c>
      <c r="EN615" s="1859"/>
      <c r="EO615" s="1859"/>
      <c r="EP615" s="1859"/>
      <c r="EQ615" s="1420"/>
      <c r="ER615" s="1419" t="str">
        <f t="shared" si="21"/>
        <v xml:space="preserve"> </v>
      </c>
      <c r="ES615" s="1859"/>
      <c r="ET615" s="1859"/>
      <c r="EU615" s="1859"/>
      <c r="EV615" s="1420"/>
      <c r="EW615" s="1419" t="str">
        <f t="shared" si="22"/>
        <v xml:space="preserve"> </v>
      </c>
      <c r="EX615" s="1859"/>
      <c r="EY615" s="1859"/>
      <c r="EZ615" s="1859"/>
      <c r="FA615" s="1420"/>
    </row>
    <row r="616" spans="1:157" ht="12.95" customHeight="1">
      <c r="A616" s="2" t="s">
        <v>321</v>
      </c>
      <c r="B616" s="2"/>
      <c r="C616" s="2" t="s">
        <v>21</v>
      </c>
      <c r="AZ616" s="3"/>
      <c r="BA616" s="3"/>
      <c r="BB616" s="3"/>
      <c r="BC616" s="3"/>
      <c r="BD616" s="3"/>
      <c r="BE616" s="1419">
        <f t="shared" si="1"/>
        <v>0</v>
      </c>
      <c r="BF616" s="1420"/>
      <c r="BG616" s="1501">
        <f t="shared" si="2"/>
        <v>0</v>
      </c>
      <c r="BH616" s="1502"/>
      <c r="BI616" s="1419">
        <f t="shared" si="3"/>
        <v>0</v>
      </c>
      <c r="BJ616" s="1420"/>
      <c r="BK616" s="1501">
        <f t="shared" si="4"/>
        <v>0</v>
      </c>
      <c r="BL616" s="1502"/>
      <c r="BM616" s="3"/>
      <c r="BN616" s="1512">
        <f t="shared" si="5"/>
        <v>0</v>
      </c>
      <c r="BO616" s="1513"/>
      <c r="BP616" s="1513"/>
      <c r="BQ616" s="1513"/>
      <c r="BR616" s="1514"/>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28">
        <f t="shared" si="11"/>
        <v>0</v>
      </c>
      <c r="CT616" s="1728"/>
      <c r="CU616" s="1728"/>
      <c r="CV616" s="1728"/>
      <c r="CW616" s="1728"/>
      <c r="CX616" s="1728">
        <f t="shared" si="12"/>
        <v>0</v>
      </c>
      <c r="CY616" s="1728"/>
      <c r="CZ616" s="1728"/>
      <c r="DA616" s="1728"/>
      <c r="DB616" s="1728"/>
      <c r="DC616" s="1728">
        <f t="shared" si="13"/>
        <v>0</v>
      </c>
      <c r="DD616" s="1728"/>
      <c r="DE616" s="1728"/>
      <c r="DF616" s="1728"/>
      <c r="DG616" s="1728"/>
      <c r="DH616" s="1728">
        <f t="shared" si="14"/>
        <v>0</v>
      </c>
      <c r="DI616" s="1728"/>
      <c r="DJ616" s="1728"/>
      <c r="DK616" s="1728"/>
      <c r="DL616" s="1728"/>
      <c r="DM616" s="1728">
        <f t="shared" si="15"/>
        <v>0</v>
      </c>
      <c r="DN616" s="1728"/>
      <c r="DO616" s="1728"/>
      <c r="DP616" s="1728"/>
      <c r="DQ616" s="1728"/>
      <c r="DR616" s="1728">
        <f t="shared" si="16"/>
        <v>0</v>
      </c>
      <c r="DS616" s="1728"/>
      <c r="DT616" s="1728"/>
      <c r="DU616" s="1728"/>
      <c r="DV616" s="1728"/>
      <c r="DX616" s="1419" t="str">
        <f t="shared" si="17"/>
        <v xml:space="preserve"> </v>
      </c>
      <c r="DY616" s="1859"/>
      <c r="DZ616" s="1859"/>
      <c r="EA616" s="1859"/>
      <c r="EB616" s="1420"/>
      <c r="EC616" s="1419" t="str">
        <f t="shared" si="18"/>
        <v xml:space="preserve"> </v>
      </c>
      <c r="ED616" s="1859"/>
      <c r="EE616" s="1859"/>
      <c r="EF616" s="1859"/>
      <c r="EG616" s="1420"/>
      <c r="EH616" s="1419" t="str">
        <f t="shared" si="19"/>
        <v xml:space="preserve"> </v>
      </c>
      <c r="EI616" s="1859"/>
      <c r="EJ616" s="1859"/>
      <c r="EK616" s="1859"/>
      <c r="EL616" s="1420"/>
      <c r="EM616" s="1419" t="str">
        <f t="shared" si="20"/>
        <v xml:space="preserve"> </v>
      </c>
      <c r="EN616" s="1859"/>
      <c r="EO616" s="1859"/>
      <c r="EP616" s="1859"/>
      <c r="EQ616" s="1420"/>
      <c r="ER616" s="1419" t="str">
        <f t="shared" si="21"/>
        <v xml:space="preserve"> </v>
      </c>
      <c r="ES616" s="1859"/>
      <c r="ET616" s="1859"/>
      <c r="EU616" s="1859"/>
      <c r="EV616" s="1420"/>
      <c r="EW616" s="1419" t="str">
        <f t="shared" si="22"/>
        <v xml:space="preserve"> </v>
      </c>
      <c r="EX616" s="1859"/>
      <c r="EY616" s="1859"/>
      <c r="EZ616" s="1859"/>
      <c r="FA616" s="1420"/>
    </row>
    <row r="617" spans="1:157" ht="12.95" customHeight="1">
      <c r="A617" s="2"/>
      <c r="B617" s="2"/>
      <c r="C617" s="2"/>
      <c r="AZ617" s="3"/>
      <c r="BA617" s="3"/>
      <c r="BB617" s="3"/>
      <c r="BC617" s="3"/>
      <c r="BD617" s="3"/>
      <c r="BE617" s="1419">
        <f t="shared" si="1"/>
        <v>0</v>
      </c>
      <c r="BF617" s="1420"/>
      <c r="BG617" s="1501">
        <f t="shared" si="2"/>
        <v>0</v>
      </c>
      <c r="BH617" s="1502"/>
      <c r="BI617" s="1419">
        <f t="shared" si="3"/>
        <v>0</v>
      </c>
      <c r="BJ617" s="1420"/>
      <c r="BK617" s="1501">
        <f t="shared" si="4"/>
        <v>0</v>
      </c>
      <c r="BL617" s="1502"/>
      <c r="BM617" s="3"/>
      <c r="BN617" s="1512">
        <f t="shared" si="5"/>
        <v>0</v>
      </c>
      <c r="BO617" s="1513"/>
      <c r="BP617" s="1513"/>
      <c r="BQ617" s="1513"/>
      <c r="BR617" s="1514"/>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28">
        <f t="shared" si="11"/>
        <v>0</v>
      </c>
      <c r="CT617" s="1728"/>
      <c r="CU617" s="1728"/>
      <c r="CV617" s="1728"/>
      <c r="CW617" s="1728"/>
      <c r="CX617" s="1728">
        <f t="shared" si="12"/>
        <v>0</v>
      </c>
      <c r="CY617" s="1728"/>
      <c r="CZ617" s="1728"/>
      <c r="DA617" s="1728"/>
      <c r="DB617" s="1728"/>
      <c r="DC617" s="1728">
        <f t="shared" si="13"/>
        <v>0</v>
      </c>
      <c r="DD617" s="1728"/>
      <c r="DE617" s="1728"/>
      <c r="DF617" s="1728"/>
      <c r="DG617" s="1728"/>
      <c r="DH617" s="1728">
        <f t="shared" si="14"/>
        <v>0</v>
      </c>
      <c r="DI617" s="1728"/>
      <c r="DJ617" s="1728"/>
      <c r="DK617" s="1728"/>
      <c r="DL617" s="1728"/>
      <c r="DM617" s="1728">
        <f t="shared" si="15"/>
        <v>0</v>
      </c>
      <c r="DN617" s="1728"/>
      <c r="DO617" s="1728"/>
      <c r="DP617" s="1728"/>
      <c r="DQ617" s="1728"/>
      <c r="DR617" s="1728">
        <f t="shared" si="16"/>
        <v>0</v>
      </c>
      <c r="DS617" s="1728"/>
      <c r="DT617" s="1728"/>
      <c r="DU617" s="1728"/>
      <c r="DV617" s="1728"/>
      <c r="DX617" s="1419" t="str">
        <f t="shared" si="17"/>
        <v xml:space="preserve"> </v>
      </c>
      <c r="DY617" s="1859"/>
      <c r="DZ617" s="1859"/>
      <c r="EA617" s="1859"/>
      <c r="EB617" s="1420"/>
      <c r="EC617" s="1419" t="str">
        <f t="shared" si="18"/>
        <v xml:space="preserve"> </v>
      </c>
      <c r="ED617" s="1859"/>
      <c r="EE617" s="1859"/>
      <c r="EF617" s="1859"/>
      <c r="EG617" s="1420"/>
      <c r="EH617" s="1419" t="str">
        <f t="shared" si="19"/>
        <v xml:space="preserve"> </v>
      </c>
      <c r="EI617" s="1859"/>
      <c r="EJ617" s="1859"/>
      <c r="EK617" s="1859"/>
      <c r="EL617" s="1420"/>
      <c r="EM617" s="1419" t="str">
        <f t="shared" si="20"/>
        <v xml:space="preserve"> </v>
      </c>
      <c r="EN617" s="1859"/>
      <c r="EO617" s="1859"/>
      <c r="EP617" s="1859"/>
      <c r="EQ617" s="1420"/>
      <c r="ER617" s="1419" t="str">
        <f t="shared" si="21"/>
        <v xml:space="preserve"> </v>
      </c>
      <c r="ES617" s="1859"/>
      <c r="ET617" s="1859"/>
      <c r="EU617" s="1859"/>
      <c r="EV617" s="1420"/>
      <c r="EW617" s="1419" t="str">
        <f t="shared" si="22"/>
        <v xml:space="preserve"> </v>
      </c>
      <c r="EX617" s="1859"/>
      <c r="EY617" s="1859"/>
      <c r="EZ617" s="1859"/>
      <c r="FA617" s="1420"/>
    </row>
    <row r="618" spans="1:157" ht="12.95" customHeight="1">
      <c r="C618" s="2" t="s">
        <v>2525</v>
      </c>
      <c r="AZ618" s="3"/>
      <c r="BA618" s="3"/>
      <c r="BB618" s="3"/>
      <c r="BC618" s="3"/>
      <c r="BD618" s="3"/>
      <c r="BE618" s="1419">
        <f t="shared" si="1"/>
        <v>0</v>
      </c>
      <c r="BF618" s="1420"/>
      <c r="BG618" s="1501">
        <f t="shared" si="2"/>
        <v>0</v>
      </c>
      <c r="BH618" s="1502"/>
      <c r="BI618" s="1419">
        <f t="shared" si="3"/>
        <v>0</v>
      </c>
      <c r="BJ618" s="1420"/>
      <c r="BK618" s="1501">
        <f t="shared" si="4"/>
        <v>0</v>
      </c>
      <c r="BL618" s="1502"/>
      <c r="BM618" s="3"/>
      <c r="BN618" s="1512">
        <f t="shared" si="5"/>
        <v>0</v>
      </c>
      <c r="BO618" s="1513"/>
      <c r="BP618" s="1513"/>
      <c r="BQ618" s="1513"/>
      <c r="BR618" s="1514"/>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28">
        <f t="shared" si="11"/>
        <v>0</v>
      </c>
      <c r="CT618" s="1728"/>
      <c r="CU618" s="1728"/>
      <c r="CV618" s="1728"/>
      <c r="CW618" s="1728"/>
      <c r="CX618" s="1728">
        <f t="shared" si="12"/>
        <v>0</v>
      </c>
      <c r="CY618" s="1728"/>
      <c r="CZ618" s="1728"/>
      <c r="DA618" s="1728"/>
      <c r="DB618" s="1728"/>
      <c r="DC618" s="1728">
        <f t="shared" si="13"/>
        <v>0</v>
      </c>
      <c r="DD618" s="1728"/>
      <c r="DE618" s="1728"/>
      <c r="DF618" s="1728"/>
      <c r="DG618" s="1728"/>
      <c r="DH618" s="1728">
        <f t="shared" si="14"/>
        <v>0</v>
      </c>
      <c r="DI618" s="1728"/>
      <c r="DJ618" s="1728"/>
      <c r="DK618" s="1728"/>
      <c r="DL618" s="1728"/>
      <c r="DM618" s="1728">
        <f t="shared" si="15"/>
        <v>0</v>
      </c>
      <c r="DN618" s="1728"/>
      <c r="DO618" s="1728"/>
      <c r="DP618" s="1728"/>
      <c r="DQ618" s="1728"/>
      <c r="DR618" s="1728">
        <f t="shared" si="16"/>
        <v>0</v>
      </c>
      <c r="DS618" s="1728"/>
      <c r="DT618" s="1728"/>
      <c r="DU618" s="1728"/>
      <c r="DV618" s="1728"/>
      <c r="DX618" s="1419" t="str">
        <f t="shared" si="17"/>
        <v xml:space="preserve"> </v>
      </c>
      <c r="DY618" s="1859"/>
      <c r="DZ618" s="1859"/>
      <c r="EA618" s="1859"/>
      <c r="EB618" s="1420"/>
      <c r="EC618" s="1419" t="str">
        <f t="shared" si="18"/>
        <v xml:space="preserve"> </v>
      </c>
      <c r="ED618" s="1859"/>
      <c r="EE618" s="1859"/>
      <c r="EF618" s="1859"/>
      <c r="EG618" s="1420"/>
      <c r="EH618" s="1419" t="str">
        <f t="shared" si="19"/>
        <v xml:space="preserve"> </v>
      </c>
      <c r="EI618" s="1859"/>
      <c r="EJ618" s="1859"/>
      <c r="EK618" s="1859"/>
      <c r="EL618" s="1420"/>
      <c r="EM618" s="1419" t="str">
        <f t="shared" si="20"/>
        <v xml:space="preserve"> </v>
      </c>
      <c r="EN618" s="1859"/>
      <c r="EO618" s="1859"/>
      <c r="EP618" s="1859"/>
      <c r="EQ618" s="1420"/>
      <c r="ER618" s="1419" t="str">
        <f t="shared" si="21"/>
        <v xml:space="preserve"> </v>
      </c>
      <c r="ES618" s="1859"/>
      <c r="ET618" s="1859"/>
      <c r="EU618" s="1859"/>
      <c r="EV618" s="1420"/>
      <c r="EW618" s="1419" t="str">
        <f t="shared" si="22"/>
        <v xml:space="preserve"> </v>
      </c>
      <c r="EX618" s="1859"/>
      <c r="EY618" s="1859"/>
      <c r="EZ618" s="1859"/>
      <c r="FA618" s="1420"/>
    </row>
    <row r="619" spans="1:157" ht="12.95" customHeight="1">
      <c r="B619" s="547"/>
      <c r="C619" s="2"/>
      <c r="AZ619" s="3"/>
      <c r="BA619" s="3"/>
      <c r="BB619" s="3"/>
      <c r="BC619" s="3"/>
      <c r="BD619" s="3"/>
      <c r="BE619" s="1419">
        <f t="shared" si="1"/>
        <v>0</v>
      </c>
      <c r="BF619" s="1420"/>
      <c r="BG619" s="1501">
        <f t="shared" si="2"/>
        <v>0</v>
      </c>
      <c r="BH619" s="1502"/>
      <c r="BI619" s="1419">
        <f t="shared" si="3"/>
        <v>0</v>
      </c>
      <c r="BJ619" s="1420"/>
      <c r="BK619" s="1501">
        <f t="shared" si="4"/>
        <v>0</v>
      </c>
      <c r="BL619" s="1502"/>
      <c r="BM619" s="3"/>
      <c r="BN619" s="1512">
        <f t="shared" si="5"/>
        <v>0</v>
      </c>
      <c r="BO619" s="1513"/>
      <c r="BP619" s="1513"/>
      <c r="BQ619" s="1513"/>
      <c r="BR619" s="1514"/>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28">
        <f t="shared" si="11"/>
        <v>0</v>
      </c>
      <c r="CT619" s="1728"/>
      <c r="CU619" s="1728"/>
      <c r="CV619" s="1728"/>
      <c r="CW619" s="1728"/>
      <c r="CX619" s="1728">
        <f t="shared" si="12"/>
        <v>0</v>
      </c>
      <c r="CY619" s="1728"/>
      <c r="CZ619" s="1728"/>
      <c r="DA619" s="1728"/>
      <c r="DB619" s="1728"/>
      <c r="DC619" s="1728">
        <f t="shared" si="13"/>
        <v>0</v>
      </c>
      <c r="DD619" s="1728"/>
      <c r="DE619" s="1728"/>
      <c r="DF619" s="1728"/>
      <c r="DG619" s="1728"/>
      <c r="DH619" s="1728">
        <f t="shared" si="14"/>
        <v>0</v>
      </c>
      <c r="DI619" s="1728"/>
      <c r="DJ619" s="1728"/>
      <c r="DK619" s="1728"/>
      <c r="DL619" s="1728"/>
      <c r="DM619" s="1728">
        <f t="shared" si="15"/>
        <v>0</v>
      </c>
      <c r="DN619" s="1728"/>
      <c r="DO619" s="1728"/>
      <c r="DP619" s="1728"/>
      <c r="DQ619" s="1728"/>
      <c r="DR619" s="1728">
        <f t="shared" si="16"/>
        <v>0</v>
      </c>
      <c r="DS619" s="1728"/>
      <c r="DT619" s="1728"/>
      <c r="DU619" s="1728"/>
      <c r="DV619" s="1728"/>
      <c r="DX619" s="1419" t="str">
        <f t="shared" si="17"/>
        <v xml:space="preserve"> </v>
      </c>
      <c r="DY619" s="1859"/>
      <c r="DZ619" s="1859"/>
      <c r="EA619" s="1859"/>
      <c r="EB619" s="1420"/>
      <c r="EC619" s="1419" t="str">
        <f t="shared" si="18"/>
        <v xml:space="preserve"> </v>
      </c>
      <c r="ED619" s="1859"/>
      <c r="EE619" s="1859"/>
      <c r="EF619" s="1859"/>
      <c r="EG619" s="1420"/>
      <c r="EH619" s="1419" t="str">
        <f t="shared" si="19"/>
        <v xml:space="preserve"> </v>
      </c>
      <c r="EI619" s="1859"/>
      <c r="EJ619" s="1859"/>
      <c r="EK619" s="1859"/>
      <c r="EL619" s="1420"/>
      <c r="EM619" s="1419" t="str">
        <f t="shared" si="20"/>
        <v xml:space="preserve"> </v>
      </c>
      <c r="EN619" s="1859"/>
      <c r="EO619" s="1859"/>
      <c r="EP619" s="1859"/>
      <c r="EQ619" s="1420"/>
      <c r="ER619" s="1419" t="str">
        <f t="shared" si="21"/>
        <v xml:space="preserve"> </v>
      </c>
      <c r="ES619" s="1859"/>
      <c r="ET619" s="1859"/>
      <c r="EU619" s="1859"/>
      <c r="EV619" s="1420"/>
      <c r="EW619" s="1419" t="str">
        <f t="shared" si="22"/>
        <v xml:space="preserve"> </v>
      </c>
      <c r="EX619" s="1859"/>
      <c r="EY619" s="1859"/>
      <c r="EZ619" s="1859"/>
      <c r="FA619" s="1420"/>
    </row>
    <row r="620" spans="1:157" ht="12.95" customHeight="1">
      <c r="B620" s="1612" t="s">
        <v>2527</v>
      </c>
      <c r="C620" s="1612"/>
      <c r="D620" s="1612"/>
      <c r="E620" s="1612"/>
      <c r="F620" s="1612"/>
      <c r="G620" s="1612"/>
      <c r="H620" s="1612"/>
      <c r="I620" s="1612"/>
      <c r="J620" s="1612"/>
      <c r="K620" s="1612"/>
      <c r="L620" s="1612"/>
      <c r="M620" s="1518" t="s">
        <v>2528</v>
      </c>
      <c r="N620" s="1518"/>
      <c r="O620" s="1518"/>
      <c r="P620" s="1518"/>
      <c r="Q620" s="1518" t="s">
        <v>2116</v>
      </c>
      <c r="R620" s="1518"/>
      <c r="S620" s="1518"/>
      <c r="T620" s="1518" t="s">
        <v>2114</v>
      </c>
      <c r="U620" s="1518"/>
      <c r="V620" s="1518"/>
      <c r="W620" s="1867" t="s">
        <v>463</v>
      </c>
      <c r="X620" s="1867"/>
      <c r="Y620" s="1867"/>
      <c r="Z620" s="1409" t="s">
        <v>2557</v>
      </c>
      <c r="AA620" s="1409"/>
      <c r="AB620" s="1410"/>
      <c r="AC620" s="1752" t="s">
        <v>1936</v>
      </c>
      <c r="AD620" s="1753"/>
      <c r="AE620" s="1754"/>
      <c r="AF620" s="1408" t="s">
        <v>2314</v>
      </c>
      <c r="AG620" s="1409"/>
      <c r="AH620" s="1409"/>
      <c r="AI620" s="1409"/>
      <c r="AJ620" s="1410"/>
      <c r="AK620" s="1742" t="s">
        <v>2315</v>
      </c>
      <c r="AL620" s="1743"/>
      <c r="AM620" s="1743"/>
      <c r="AN620" s="1744"/>
      <c r="AO620" s="1518" t="s">
        <v>464</v>
      </c>
      <c r="AP620" s="1518"/>
      <c r="AQ620" s="1518"/>
      <c r="AR620" s="1518"/>
      <c r="AS620" s="1518"/>
      <c r="AZ620" s="3"/>
      <c r="BA620" s="3"/>
      <c r="BB620" s="3"/>
      <c r="BC620" s="3"/>
      <c r="BD620" s="3"/>
      <c r="BE620" s="1419">
        <f t="shared" si="1"/>
        <v>0</v>
      </c>
      <c r="BF620" s="1420"/>
      <c r="BG620" s="1501">
        <f t="shared" si="2"/>
        <v>0</v>
      </c>
      <c r="BH620" s="1502"/>
      <c r="BI620" s="1419">
        <f t="shared" si="3"/>
        <v>0</v>
      </c>
      <c r="BJ620" s="1420"/>
      <c r="BK620" s="1501">
        <f t="shared" si="4"/>
        <v>0</v>
      </c>
      <c r="BL620" s="1502"/>
      <c r="BM620" s="3"/>
      <c r="BN620" s="1512">
        <f t="shared" si="5"/>
        <v>0</v>
      </c>
      <c r="BO620" s="1513"/>
      <c r="BP620" s="1513"/>
      <c r="BQ620" s="1513"/>
      <c r="BR620" s="1514"/>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28">
        <f t="shared" si="11"/>
        <v>0</v>
      </c>
      <c r="CT620" s="1728"/>
      <c r="CU620" s="1728"/>
      <c r="CV620" s="1728"/>
      <c r="CW620" s="1728"/>
      <c r="CX620" s="1728">
        <f t="shared" si="12"/>
        <v>0</v>
      </c>
      <c r="CY620" s="1728"/>
      <c r="CZ620" s="1728"/>
      <c r="DA620" s="1728"/>
      <c r="DB620" s="1728"/>
      <c r="DC620" s="1728">
        <f t="shared" si="13"/>
        <v>0</v>
      </c>
      <c r="DD620" s="1728"/>
      <c r="DE620" s="1728"/>
      <c r="DF620" s="1728"/>
      <c r="DG620" s="1728"/>
      <c r="DH620" s="1728">
        <f t="shared" si="14"/>
        <v>0</v>
      </c>
      <c r="DI620" s="1728"/>
      <c r="DJ620" s="1728"/>
      <c r="DK620" s="1728"/>
      <c r="DL620" s="1728"/>
      <c r="DM620" s="1728">
        <f t="shared" si="15"/>
        <v>0</v>
      </c>
      <c r="DN620" s="1728"/>
      <c r="DO620" s="1728"/>
      <c r="DP620" s="1728"/>
      <c r="DQ620" s="1728"/>
      <c r="DR620" s="1728">
        <f t="shared" si="16"/>
        <v>0</v>
      </c>
      <c r="DS620" s="1728"/>
      <c r="DT620" s="1728"/>
      <c r="DU620" s="1728"/>
      <c r="DV620" s="1728"/>
      <c r="DX620" s="1419" t="str">
        <f t="shared" si="17"/>
        <v xml:space="preserve"> </v>
      </c>
      <c r="DY620" s="1859"/>
      <c r="DZ620" s="1859"/>
      <c r="EA620" s="1859"/>
      <c r="EB620" s="1420"/>
      <c r="EC620" s="1419" t="str">
        <f t="shared" si="18"/>
        <v xml:space="preserve"> </v>
      </c>
      <c r="ED620" s="1859"/>
      <c r="EE620" s="1859"/>
      <c r="EF620" s="1859"/>
      <c r="EG620" s="1420"/>
      <c r="EH620" s="1419" t="str">
        <f t="shared" si="19"/>
        <v xml:space="preserve"> </v>
      </c>
      <c r="EI620" s="1859"/>
      <c r="EJ620" s="1859"/>
      <c r="EK620" s="1859"/>
      <c r="EL620" s="1420"/>
      <c r="EM620" s="1419" t="str">
        <f t="shared" si="20"/>
        <v xml:space="preserve"> </v>
      </c>
      <c r="EN620" s="1859"/>
      <c r="EO620" s="1859"/>
      <c r="EP620" s="1859"/>
      <c r="EQ620" s="1420"/>
      <c r="ER620" s="1419" t="str">
        <f t="shared" si="21"/>
        <v xml:space="preserve"> </v>
      </c>
      <c r="ES620" s="1859"/>
      <c r="ET620" s="1859"/>
      <c r="EU620" s="1859"/>
      <c r="EV620" s="1420"/>
      <c r="EW620" s="1419" t="str">
        <f t="shared" si="22"/>
        <v xml:space="preserve"> </v>
      </c>
      <c r="EX620" s="1859"/>
      <c r="EY620" s="1859"/>
      <c r="EZ620" s="1859"/>
      <c r="FA620" s="1420"/>
    </row>
    <row r="621" spans="1:157" ht="12.95" customHeight="1">
      <c r="B621" s="1612"/>
      <c r="C621" s="1612"/>
      <c r="D621" s="1612"/>
      <c r="E621" s="1612"/>
      <c r="F621" s="1612"/>
      <c r="G621" s="1612"/>
      <c r="H621" s="1612"/>
      <c r="I621" s="1612"/>
      <c r="J621" s="1612"/>
      <c r="K621" s="1612"/>
      <c r="L621" s="1612"/>
      <c r="M621" s="1518"/>
      <c r="N621" s="1518"/>
      <c r="O621" s="1518"/>
      <c r="P621" s="1518"/>
      <c r="Q621" s="1518"/>
      <c r="R621" s="1518"/>
      <c r="S621" s="1518"/>
      <c r="T621" s="1518"/>
      <c r="U621" s="1518"/>
      <c r="V621" s="1518"/>
      <c r="W621" s="1867"/>
      <c r="X621" s="1867"/>
      <c r="Y621" s="1867"/>
      <c r="Z621" s="1412"/>
      <c r="AA621" s="1412"/>
      <c r="AB621" s="1413"/>
      <c r="AC621" s="1755"/>
      <c r="AD621" s="1756"/>
      <c r="AE621" s="1757"/>
      <c r="AF621" s="1411"/>
      <c r="AG621" s="1412"/>
      <c r="AH621" s="1412"/>
      <c r="AI621" s="1412"/>
      <c r="AJ621" s="1413"/>
      <c r="AK621" s="1745"/>
      <c r="AL621" s="1746"/>
      <c r="AM621" s="1746"/>
      <c r="AN621" s="1747"/>
      <c r="AO621" s="1518"/>
      <c r="AP621" s="1518"/>
      <c r="AQ621" s="1518"/>
      <c r="AR621" s="1518"/>
      <c r="AS621" s="1518"/>
      <c r="AZ621" s="3"/>
      <c r="BA621" s="3"/>
      <c r="BB621" s="3"/>
      <c r="BC621" s="3"/>
      <c r="BD621" s="3"/>
      <c r="BE621" s="3"/>
      <c r="BF621" s="3"/>
      <c r="BG621" s="1419">
        <f>SUM(BG596:BH620)</f>
        <v>31</v>
      </c>
      <c r="BH621" s="1420"/>
      <c r="BI621" s="3"/>
      <c r="BJ621" s="3"/>
      <c r="BK621" s="1419">
        <f>SUM(BK596:BL620)</f>
        <v>18</v>
      </c>
      <c r="BL621" s="1420"/>
      <c r="BM621" s="3"/>
      <c r="BN621" s="1419">
        <f>SUM(BN596:BR620)</f>
        <v>0</v>
      </c>
      <c r="BO621" s="1859"/>
      <c r="BP621" s="1859"/>
      <c r="BQ621" s="1859"/>
      <c r="BR621" s="1420"/>
      <c r="BS621" s="1702">
        <f>SUM(BS596:BW620)</f>
        <v>18</v>
      </c>
      <c r="BT621" s="1702"/>
      <c r="BU621" s="1702"/>
      <c r="BV621" s="1702"/>
      <c r="BW621" s="1702"/>
      <c r="BX621" s="1702">
        <f>SUM(BX596:CB620)</f>
        <v>33</v>
      </c>
      <c r="BY621" s="1702"/>
      <c r="BZ621" s="1702"/>
      <c r="CA621" s="1702"/>
      <c r="CB621" s="1702"/>
      <c r="CC621" s="1702">
        <f>SUM(CC596:CG620)</f>
        <v>18</v>
      </c>
      <c r="CD621" s="1702"/>
      <c r="CE621" s="1702"/>
      <c r="CF621" s="1702"/>
      <c r="CG621" s="1702"/>
      <c r="CH621" s="1702">
        <f>SUM(CH596:CL620)</f>
        <v>0</v>
      </c>
      <c r="CI621" s="1702"/>
      <c r="CJ621" s="1702"/>
      <c r="CK621" s="1702"/>
      <c r="CL621" s="1702"/>
      <c r="CM621" s="1702">
        <f>SUM(CM596:CQ620)</f>
        <v>0</v>
      </c>
      <c r="CN621" s="1702"/>
      <c r="CO621" s="1702"/>
      <c r="CP621" s="1702"/>
      <c r="CQ621" s="1702"/>
      <c r="CR621" s="386"/>
      <c r="CS621" s="1702">
        <f>SUM(CS596:CW620)</f>
        <v>0</v>
      </c>
      <c r="CT621" s="1702"/>
      <c r="CU621" s="1702"/>
      <c r="CV621" s="1702"/>
      <c r="CW621" s="1702"/>
      <c r="CX621" s="1702">
        <f>SUM(CX596:DB620)</f>
        <v>5</v>
      </c>
      <c r="CY621" s="1702"/>
      <c r="CZ621" s="1702"/>
      <c r="DA621" s="1702"/>
      <c r="DB621" s="1702"/>
      <c r="DC621" s="1702">
        <f>SUM(DC596:DG620)</f>
        <v>8</v>
      </c>
      <c r="DD621" s="1702"/>
      <c r="DE621" s="1702"/>
      <c r="DF621" s="1702"/>
      <c r="DG621" s="1702"/>
      <c r="DH621" s="1702">
        <f>SUM(DH596:DL620)</f>
        <v>5</v>
      </c>
      <c r="DI621" s="1702"/>
      <c r="DJ621" s="1702"/>
      <c r="DK621" s="1702"/>
      <c r="DL621" s="1702"/>
      <c r="DM621" s="1702">
        <f>SUM(DM596:DQ620)</f>
        <v>0</v>
      </c>
      <c r="DN621" s="1702"/>
      <c r="DO621" s="1702"/>
      <c r="DP621" s="1702"/>
      <c r="DQ621" s="1702"/>
      <c r="DR621" s="1702">
        <f>SUM(DR596:DV620)</f>
        <v>0</v>
      </c>
      <c r="DS621" s="1702"/>
      <c r="DT621" s="1702"/>
      <c r="DU621" s="1702"/>
      <c r="DV621" s="1702"/>
      <c r="DX621" s="1702">
        <f>SUM(DX596:EB620)</f>
        <v>0</v>
      </c>
      <c r="DY621" s="1702"/>
      <c r="DZ621" s="1702"/>
      <c r="EA621" s="1702"/>
      <c r="EB621" s="1702"/>
      <c r="EC621" s="1702">
        <f>SUM(EC596:EG620)</f>
        <v>2943.6400000000003</v>
      </c>
      <c r="ED621" s="1702"/>
      <c r="EE621" s="1702"/>
      <c r="EF621" s="1702"/>
      <c r="EG621" s="1702"/>
      <c r="EH621" s="1702">
        <f>SUM(EH596:EL620)</f>
        <v>3537.6400000000003</v>
      </c>
      <c r="EI621" s="1702"/>
      <c r="EJ621" s="1702"/>
      <c r="EK621" s="1702"/>
      <c r="EL621" s="1702"/>
      <c r="EM621" s="1702">
        <f>SUM(EM596:EQ620)</f>
        <v>4084.6400000000003</v>
      </c>
      <c r="EN621" s="1702"/>
      <c r="EO621" s="1702"/>
      <c r="EP621" s="1702"/>
      <c r="EQ621" s="1702"/>
      <c r="ER621" s="1702">
        <f>SUM(ER596:EV620)</f>
        <v>0</v>
      </c>
      <c r="ES621" s="1702"/>
      <c r="ET621" s="1702"/>
      <c r="EU621" s="1702"/>
      <c r="EV621" s="1702"/>
      <c r="EW621" s="1702">
        <f>SUM(EW596:FA620)</f>
        <v>0</v>
      </c>
      <c r="EX621" s="1702"/>
      <c r="EY621" s="1702"/>
      <c r="EZ621" s="1702"/>
      <c r="FA621" s="1702"/>
    </row>
    <row r="622" spans="1:157" ht="12.95" customHeight="1">
      <c r="B622" s="1612"/>
      <c r="C622" s="1612"/>
      <c r="D622" s="1612"/>
      <c r="E622" s="1612"/>
      <c r="F622" s="1612"/>
      <c r="G622" s="1612"/>
      <c r="H622" s="1612"/>
      <c r="I622" s="1612"/>
      <c r="J622" s="1612"/>
      <c r="K622" s="1612"/>
      <c r="L622" s="1612"/>
      <c r="M622" s="1518"/>
      <c r="N622" s="1518"/>
      <c r="O622" s="1518"/>
      <c r="P622" s="1518"/>
      <c r="Q622" s="1518"/>
      <c r="R622" s="1518"/>
      <c r="S622" s="1518"/>
      <c r="T622" s="1518"/>
      <c r="U622" s="1518"/>
      <c r="V622" s="1518"/>
      <c r="W622" s="1867"/>
      <c r="X622" s="1867"/>
      <c r="Y622" s="1867"/>
      <c r="Z622" s="1415"/>
      <c r="AA622" s="1415"/>
      <c r="AB622" s="1416"/>
      <c r="AC622" s="1758"/>
      <c r="AD622" s="1759"/>
      <c r="AE622" s="1760"/>
      <c r="AF622" s="1414"/>
      <c r="AG622" s="1415"/>
      <c r="AH622" s="1415"/>
      <c r="AI622" s="1415"/>
      <c r="AJ622" s="1416"/>
      <c r="AK622" s="1748"/>
      <c r="AL622" s="1749"/>
      <c r="AM622" s="1749"/>
      <c r="AN622" s="1750"/>
      <c r="AO622" s="1518"/>
      <c r="AP622" s="1518"/>
      <c r="AQ622" s="1518"/>
      <c r="AR622" s="1518"/>
      <c r="AS622" s="151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69</v>
      </c>
      <c r="CN622" s="1859"/>
      <c r="CO622" s="1859"/>
      <c r="CP622" s="1859"/>
      <c r="CQ622" s="1420"/>
      <c r="CR622" s="386"/>
      <c r="CS622" s="3"/>
      <c r="CT622" s="3"/>
      <c r="CU622" s="3"/>
      <c r="CV622" s="3"/>
      <c r="CW622" s="3"/>
      <c r="CX622" s="3"/>
      <c r="CY622" s="3"/>
      <c r="CZ622" s="3"/>
      <c r="DA622" s="3"/>
      <c r="DB622" s="3"/>
      <c r="DC622" s="3"/>
      <c r="DD622" s="3"/>
      <c r="DE622" s="3"/>
      <c r="DF622" s="3"/>
    </row>
    <row r="623" spans="1:157" ht="12.95" customHeight="1">
      <c r="B623" s="51" t="s">
        <v>113</v>
      </c>
      <c r="C623" s="1613" t="s">
        <v>2719</v>
      </c>
      <c r="D623" s="1613"/>
      <c r="E623" s="1613"/>
      <c r="F623" s="1613"/>
      <c r="G623" s="1613"/>
      <c r="H623" s="1613"/>
      <c r="I623" s="1613"/>
      <c r="J623" s="1613"/>
      <c r="K623" s="1613"/>
      <c r="L623" s="1613"/>
      <c r="M623" s="1864" t="s">
        <v>2544</v>
      </c>
      <c r="N623" s="1864"/>
      <c r="O623" s="1864"/>
      <c r="P623" s="1864"/>
      <c r="Q623" s="1553">
        <v>480</v>
      </c>
      <c r="R623" s="1553"/>
      <c r="S623" s="1866"/>
      <c r="T623" s="1865">
        <v>450</v>
      </c>
      <c r="U623" s="1553"/>
      <c r="V623" s="1866"/>
      <c r="W623" s="1603">
        <v>6.5000000000000002E-2</v>
      </c>
      <c r="X623" s="1604"/>
      <c r="Y623" s="1605"/>
      <c r="Z623" s="1721" t="s">
        <v>2556</v>
      </c>
      <c r="AA623" s="1722"/>
      <c r="AB623" s="1723"/>
      <c r="AC623" s="1428">
        <v>1</v>
      </c>
      <c r="AD623" s="1429"/>
      <c r="AE623" s="1430"/>
      <c r="AF623" s="1588">
        <f>PMT(W623/12, Q623, -AO623)*12</f>
        <v>297388.64124562714</v>
      </c>
      <c r="AG623" s="1589"/>
      <c r="AH623" s="1589"/>
      <c r="AI623" s="1589"/>
      <c r="AJ623" s="1590"/>
      <c r="AK623" s="1606"/>
      <c r="AL623" s="1607"/>
      <c r="AM623" s="1607"/>
      <c r="AN623" s="1608"/>
      <c r="AO623" s="1621">
        <v>4233000</v>
      </c>
      <c r="AP623" s="1621"/>
      <c r="AQ623" s="1621"/>
      <c r="AR623" s="1621"/>
      <c r="AS623" s="1621"/>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18</v>
      </c>
      <c r="BX623" s="3"/>
      <c r="BY623" s="3"/>
      <c r="BZ623" s="3"/>
      <c r="CA623" s="3"/>
      <c r="CB623" s="897">
        <f>BX621*2</f>
        <v>66</v>
      </c>
      <c r="CC623" s="3"/>
      <c r="CD623" s="3"/>
      <c r="CE623" s="3"/>
      <c r="CF623" s="3"/>
      <c r="CG623" s="897">
        <f>CC621*3</f>
        <v>54</v>
      </c>
      <c r="CH623" s="3"/>
      <c r="CI623" s="3"/>
      <c r="CJ623" s="3"/>
      <c r="CK623" s="3"/>
      <c r="CL623" s="897">
        <f>CH621*4</f>
        <v>0</v>
      </c>
      <c r="CM623" s="3"/>
      <c r="CN623" s="3"/>
      <c r="CO623" s="3"/>
      <c r="CP623" s="3"/>
      <c r="CQ623" s="897">
        <f>CM621*5</f>
        <v>0</v>
      </c>
      <c r="CS623" s="897">
        <f>BR623+BW623+CB623+CG623+CL623+CQ623</f>
        <v>138</v>
      </c>
      <c r="CT623" s="57" t="s">
        <v>2126</v>
      </c>
      <c r="CU623" s="3"/>
      <c r="CV623" s="3"/>
      <c r="CW623" s="3"/>
      <c r="CX623" s="3"/>
      <c r="CY623" s="3"/>
      <c r="CZ623" s="3"/>
      <c r="DA623" s="3"/>
      <c r="DB623" s="3"/>
      <c r="DC623" s="3"/>
      <c r="DD623" s="3"/>
      <c r="DE623" s="3"/>
      <c r="DF623" s="3"/>
    </row>
    <row r="624" spans="1:157" ht="12.95" customHeight="1">
      <c r="B624" s="52" t="s">
        <v>114</v>
      </c>
      <c r="C624" s="1613" t="s">
        <v>2720</v>
      </c>
      <c r="D624" s="1613"/>
      <c r="E624" s="1613"/>
      <c r="F624" s="1613"/>
      <c r="G624" s="1613"/>
      <c r="H624" s="1613"/>
      <c r="I624" s="1613"/>
      <c r="J624" s="1613"/>
      <c r="K624" s="1613"/>
      <c r="L624" s="1613"/>
      <c r="M624" s="1864" t="s">
        <v>2540</v>
      </c>
      <c r="N624" s="1864"/>
      <c r="O624" s="1864"/>
      <c r="P624" s="1864"/>
      <c r="Q624" s="1865">
        <v>660</v>
      </c>
      <c r="R624" s="1553"/>
      <c r="S624" s="1866"/>
      <c r="T624" s="1865"/>
      <c r="U624" s="1553"/>
      <c r="V624" s="1866"/>
      <c r="W624" s="1603">
        <v>0.03</v>
      </c>
      <c r="X624" s="1604"/>
      <c r="Y624" s="1605"/>
      <c r="Z624" s="1721" t="s">
        <v>467</v>
      </c>
      <c r="AA624" s="1722"/>
      <c r="AB624" s="1723"/>
      <c r="AC624" s="1428"/>
      <c r="AD624" s="1429"/>
      <c r="AE624" s="1430"/>
      <c r="AF624" s="1588"/>
      <c r="AG624" s="1589"/>
      <c r="AH624" s="1589"/>
      <c r="AI624" s="1589"/>
      <c r="AJ624" s="1590"/>
      <c r="AK624" s="1606"/>
      <c r="AL624" s="1607"/>
      <c r="AM624" s="1607"/>
      <c r="AN624" s="1608"/>
      <c r="AO624" s="1609">
        <v>14442686</v>
      </c>
      <c r="AP624" s="1610"/>
      <c r="AQ624" s="1610"/>
      <c r="AR624" s="1610"/>
      <c r="AS624" s="1611"/>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3" t="e">
        <f t="shared" ref="DX624:DX648" si="23">DX596*(BN596/$BN$621)</f>
        <v>#VALUE!</v>
      </c>
      <c r="DY624" s="1863"/>
      <c r="DZ624" s="1863"/>
      <c r="EA624" s="1863"/>
      <c r="EB624" s="1863"/>
      <c r="EC624" s="1863">
        <f t="shared" ref="EC624:EC648" si="24">EC596*(BS596/$BS$621)</f>
        <v>88.055555555555557</v>
      </c>
      <c r="ED624" s="1863"/>
      <c r="EE624" s="1863"/>
      <c r="EF624" s="1863"/>
      <c r="EG624" s="1863"/>
      <c r="EH624" s="1863" t="e">
        <f t="shared" ref="EH624:EH648" si="25">EH596*(BX596/$BX$621)</f>
        <v>#VALUE!</v>
      </c>
      <c r="EI624" s="1863"/>
      <c r="EJ624" s="1863"/>
      <c r="EK624" s="1863"/>
      <c r="EL624" s="1863"/>
      <c r="EM624" s="1863" t="e">
        <f t="shared" ref="EM624:EM648" si="26">EM596*(CC596/$CC$621)</f>
        <v>#VALUE!</v>
      </c>
      <c r="EN624" s="1863"/>
      <c r="EO624" s="1863"/>
      <c r="EP624" s="1863"/>
      <c r="EQ624" s="1863"/>
      <c r="ER624" s="1863" t="e">
        <f t="shared" ref="ER624:ER648" si="27">ER596*(CH596/$CH$621)</f>
        <v>#VALUE!</v>
      </c>
      <c r="ES624" s="1863"/>
      <c r="ET624" s="1863"/>
      <c r="EU624" s="1863"/>
      <c r="EV624" s="1863"/>
      <c r="EW624" s="1863" t="e">
        <f t="shared" ref="EW624:EW648" si="28">EW596*(CM596/$CM$621)</f>
        <v>#VALUE!</v>
      </c>
      <c r="EX624" s="1863"/>
      <c r="EY624" s="1863"/>
      <c r="EZ624" s="1863"/>
      <c r="FA624" s="1863"/>
    </row>
    <row r="625" spans="1:157" ht="12.95" customHeight="1">
      <c r="B625" s="52" t="s">
        <v>120</v>
      </c>
      <c r="C625" s="1613" t="s">
        <v>2708</v>
      </c>
      <c r="D625" s="1613"/>
      <c r="E625" s="1613"/>
      <c r="F625" s="1613"/>
      <c r="G625" s="1613"/>
      <c r="H625" s="1613"/>
      <c r="I625" s="1613"/>
      <c r="J625" s="1613"/>
      <c r="K625" s="1613"/>
      <c r="L625" s="1613"/>
      <c r="M625" s="1864" t="s">
        <v>2535</v>
      </c>
      <c r="N625" s="1864"/>
      <c r="O625" s="1864"/>
      <c r="P625" s="1864"/>
      <c r="Q625" s="1865"/>
      <c r="R625" s="1553"/>
      <c r="S625" s="1866"/>
      <c r="T625" s="1865"/>
      <c r="U625" s="1553"/>
      <c r="V625" s="1866"/>
      <c r="W625" s="1603"/>
      <c r="X625" s="1604"/>
      <c r="Y625" s="1605"/>
      <c r="Z625" s="1721" t="s">
        <v>1327</v>
      </c>
      <c r="AA625" s="1722"/>
      <c r="AB625" s="1723"/>
      <c r="AC625" s="1428"/>
      <c r="AD625" s="1429"/>
      <c r="AE625" s="1430"/>
      <c r="AF625" s="1588"/>
      <c r="AG625" s="1589"/>
      <c r="AH625" s="1589"/>
      <c r="AI625" s="1589"/>
      <c r="AJ625" s="1590"/>
      <c r="AK625" s="1606"/>
      <c r="AL625" s="1607"/>
      <c r="AM625" s="1607"/>
      <c r="AN625" s="1608"/>
      <c r="AO625" s="1609">
        <v>430000</v>
      </c>
      <c r="AP625" s="1610"/>
      <c r="AQ625" s="1610"/>
      <c r="AR625" s="1610"/>
      <c r="AS625" s="1611"/>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3" t="e">
        <f t="shared" si="23"/>
        <v>#VALUE!</v>
      </c>
      <c r="DY625" s="1863"/>
      <c r="DZ625" s="1863"/>
      <c r="EA625" s="1863"/>
      <c r="EB625" s="1863"/>
      <c r="EC625" s="1863">
        <f t="shared" si="24"/>
        <v>51.55555555555555</v>
      </c>
      <c r="ED625" s="1863"/>
      <c r="EE625" s="1863"/>
      <c r="EF625" s="1863"/>
      <c r="EG625" s="1863"/>
      <c r="EH625" s="1863" t="e">
        <f t="shared" si="25"/>
        <v>#VALUE!</v>
      </c>
      <c r="EI625" s="1863"/>
      <c r="EJ625" s="1863"/>
      <c r="EK625" s="1863"/>
      <c r="EL625" s="1863"/>
      <c r="EM625" s="1863" t="e">
        <f t="shared" si="26"/>
        <v>#VALUE!</v>
      </c>
      <c r="EN625" s="1863"/>
      <c r="EO625" s="1863"/>
      <c r="EP625" s="1863"/>
      <c r="EQ625" s="1863"/>
      <c r="ER625" s="1863" t="e">
        <f t="shared" si="27"/>
        <v>#VALUE!</v>
      </c>
      <c r="ES625" s="1863"/>
      <c r="ET625" s="1863"/>
      <c r="EU625" s="1863"/>
      <c r="EV625" s="1863"/>
      <c r="EW625" s="1863" t="e">
        <f t="shared" si="28"/>
        <v>#VALUE!</v>
      </c>
      <c r="EX625" s="1863"/>
      <c r="EY625" s="1863"/>
      <c r="EZ625" s="1863"/>
      <c r="FA625" s="1863"/>
    </row>
    <row r="626" spans="1:157" ht="12.95" customHeight="1">
      <c r="B626" s="52" t="s">
        <v>591</v>
      </c>
      <c r="C626" s="1613" t="s">
        <v>1922</v>
      </c>
      <c r="D626" s="1614"/>
      <c r="E626" s="1614"/>
      <c r="F626" s="1614"/>
      <c r="G626" s="1614"/>
      <c r="H626" s="1614"/>
      <c r="I626" s="1614"/>
      <c r="J626" s="1614"/>
      <c r="K626" s="1614"/>
      <c r="L626" s="1614"/>
      <c r="M626" s="1864" t="s">
        <v>2531</v>
      </c>
      <c r="N626" s="1864"/>
      <c r="O626" s="1864"/>
      <c r="P626" s="1864"/>
      <c r="Q626" s="1865"/>
      <c r="R626" s="1553"/>
      <c r="S626" s="1866"/>
      <c r="T626" s="1865"/>
      <c r="U626" s="1553"/>
      <c r="V626" s="1866"/>
      <c r="W626" s="1603"/>
      <c r="X626" s="1604"/>
      <c r="Y626" s="1605"/>
      <c r="Z626" s="1721" t="s">
        <v>1327</v>
      </c>
      <c r="AA626" s="1722"/>
      <c r="AB626" s="1723"/>
      <c r="AC626" s="1428"/>
      <c r="AD626" s="1429"/>
      <c r="AE626" s="1430"/>
      <c r="AF626" s="1588"/>
      <c r="AG626" s="1589"/>
      <c r="AH626" s="1589"/>
      <c r="AI626" s="1589"/>
      <c r="AJ626" s="1590"/>
      <c r="AK626" s="1606"/>
      <c r="AL626" s="1607"/>
      <c r="AM626" s="1607"/>
      <c r="AN626" s="1608"/>
      <c r="AO626" s="1609">
        <v>800000</v>
      </c>
      <c r="AP626" s="1610"/>
      <c r="AQ626" s="1610"/>
      <c r="AR626" s="1610"/>
      <c r="AS626" s="1611"/>
      <c r="AT626" s="1201"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512">
        <f>IF(J758="SRO/Studio",O758,0)</f>
        <v>0</v>
      </c>
      <c r="BO626" s="1513"/>
      <c r="BP626" s="1513"/>
      <c r="BQ626" s="1513"/>
      <c r="BR626" s="1514"/>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63" t="e">
        <f t="shared" si="23"/>
        <v>#VALUE!</v>
      </c>
      <c r="DY626" s="1863"/>
      <c r="DZ626" s="1863"/>
      <c r="EA626" s="1863"/>
      <c r="EB626" s="1863"/>
      <c r="EC626" s="1863">
        <f t="shared" si="24"/>
        <v>31.937777777777775</v>
      </c>
      <c r="ED626" s="1863"/>
      <c r="EE626" s="1863"/>
      <c r="EF626" s="1863"/>
      <c r="EG626" s="1863"/>
      <c r="EH626" s="1863" t="e">
        <f t="shared" si="25"/>
        <v>#VALUE!</v>
      </c>
      <c r="EI626" s="1863"/>
      <c r="EJ626" s="1863"/>
      <c r="EK626" s="1863"/>
      <c r="EL626" s="1863"/>
      <c r="EM626" s="1863" t="e">
        <f t="shared" si="26"/>
        <v>#VALUE!</v>
      </c>
      <c r="EN626" s="1863"/>
      <c r="EO626" s="1863"/>
      <c r="EP626" s="1863"/>
      <c r="EQ626" s="1863"/>
      <c r="ER626" s="1863" t="e">
        <f t="shared" si="27"/>
        <v>#VALUE!</v>
      </c>
      <c r="ES626" s="1863"/>
      <c r="ET626" s="1863"/>
      <c r="EU626" s="1863"/>
      <c r="EV626" s="1863"/>
      <c r="EW626" s="1863" t="e">
        <f t="shared" si="28"/>
        <v>#VALUE!</v>
      </c>
      <c r="EX626" s="1863"/>
      <c r="EY626" s="1863"/>
      <c r="EZ626" s="1863"/>
      <c r="FA626" s="1863"/>
    </row>
    <row r="627" spans="1:157" ht="12.95" customHeight="1">
      <c r="B627" s="52" t="s">
        <v>788</v>
      </c>
      <c r="C627" s="1614"/>
      <c r="D627" s="1614"/>
      <c r="E627" s="1614"/>
      <c r="F627" s="1614"/>
      <c r="G627" s="1614"/>
      <c r="H627" s="1614"/>
      <c r="I627" s="1614"/>
      <c r="J627" s="1614"/>
      <c r="K627" s="1614"/>
      <c r="L627" s="1614"/>
      <c r="M627" s="1864" t="s">
        <v>1327</v>
      </c>
      <c r="N627" s="1864"/>
      <c r="O627" s="1864"/>
      <c r="P627" s="1864"/>
      <c r="Q627" s="1865"/>
      <c r="R627" s="1553"/>
      <c r="S627" s="1866"/>
      <c r="T627" s="1865"/>
      <c r="U627" s="1553"/>
      <c r="V627" s="1866"/>
      <c r="W627" s="1603"/>
      <c r="X627" s="1604"/>
      <c r="Y627" s="1605"/>
      <c r="Z627" s="1721" t="s">
        <v>1327</v>
      </c>
      <c r="AA627" s="1722"/>
      <c r="AB627" s="1723"/>
      <c r="AC627" s="1428"/>
      <c r="AD627" s="1429"/>
      <c r="AE627" s="1430"/>
      <c r="AF627" s="1588"/>
      <c r="AG627" s="1589"/>
      <c r="AH627" s="1589"/>
      <c r="AI627" s="1589"/>
      <c r="AJ627" s="1590"/>
      <c r="AK627" s="1606"/>
      <c r="AL627" s="1607"/>
      <c r="AM627" s="1607"/>
      <c r="AN627" s="1608"/>
      <c r="AO627" s="1609"/>
      <c r="AP627" s="1610"/>
      <c r="AQ627" s="1610"/>
      <c r="AR627" s="1610"/>
      <c r="AS627" s="1611"/>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2">
        <f>IF(J759="SRO/Studio",O759,0)</f>
        <v>0</v>
      </c>
      <c r="BO627" s="1513"/>
      <c r="BP627" s="1513"/>
      <c r="BQ627" s="1513"/>
      <c r="BR627" s="1514"/>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63" t="e">
        <f t="shared" si="23"/>
        <v>#VALUE!</v>
      </c>
      <c r="DY627" s="1863"/>
      <c r="DZ627" s="1863"/>
      <c r="EA627" s="1863"/>
      <c r="EB627" s="1863"/>
      <c r="EC627" s="1863">
        <f t="shared" si="24"/>
        <v>200.24444444444444</v>
      </c>
      <c r="ED627" s="1863"/>
      <c r="EE627" s="1863"/>
      <c r="EF627" s="1863"/>
      <c r="EG627" s="1863"/>
      <c r="EH627" s="1863" t="e">
        <f t="shared" si="25"/>
        <v>#VALUE!</v>
      </c>
      <c r="EI627" s="1863"/>
      <c r="EJ627" s="1863"/>
      <c r="EK627" s="1863"/>
      <c r="EL627" s="1863"/>
      <c r="EM627" s="1863" t="e">
        <f t="shared" si="26"/>
        <v>#VALUE!</v>
      </c>
      <c r="EN627" s="1863"/>
      <c r="EO627" s="1863"/>
      <c r="EP627" s="1863"/>
      <c r="EQ627" s="1863"/>
      <c r="ER627" s="1863" t="e">
        <f t="shared" si="27"/>
        <v>#VALUE!</v>
      </c>
      <c r="ES627" s="1863"/>
      <c r="ET627" s="1863"/>
      <c r="EU627" s="1863"/>
      <c r="EV627" s="1863"/>
      <c r="EW627" s="1863" t="e">
        <f t="shared" si="28"/>
        <v>#VALUE!</v>
      </c>
      <c r="EX627" s="1863"/>
      <c r="EY627" s="1863"/>
      <c r="EZ627" s="1863"/>
      <c r="FA627" s="1863"/>
    </row>
    <row r="628" spans="1:157" ht="12.95" customHeight="1">
      <c r="B628" s="52" t="s">
        <v>594</v>
      </c>
      <c r="C628" s="1614"/>
      <c r="D628" s="1614"/>
      <c r="E628" s="1614"/>
      <c r="F628" s="1614"/>
      <c r="G628" s="1614"/>
      <c r="H628" s="1614"/>
      <c r="I628" s="1614"/>
      <c r="J628" s="1614"/>
      <c r="K628" s="1614"/>
      <c r="L628" s="1614"/>
      <c r="M628" s="1864" t="s">
        <v>1327</v>
      </c>
      <c r="N628" s="1864"/>
      <c r="O628" s="1864"/>
      <c r="P628" s="1864"/>
      <c r="Q628" s="1865"/>
      <c r="R628" s="1553"/>
      <c r="S628" s="1866"/>
      <c r="T628" s="1865"/>
      <c r="U628" s="1553"/>
      <c r="V628" s="1866"/>
      <c r="W628" s="1603"/>
      <c r="X628" s="1604"/>
      <c r="Y628" s="1605"/>
      <c r="Z628" s="1721" t="s">
        <v>1327</v>
      </c>
      <c r="AA628" s="1722"/>
      <c r="AB628" s="1723"/>
      <c r="AC628" s="1428"/>
      <c r="AD628" s="1429"/>
      <c r="AE628" s="1430"/>
      <c r="AF628" s="1588"/>
      <c r="AG628" s="1589"/>
      <c r="AH628" s="1589"/>
      <c r="AI628" s="1589"/>
      <c r="AJ628" s="1590"/>
      <c r="AK628" s="1606"/>
      <c r="AL628" s="1607"/>
      <c r="AM628" s="1607"/>
      <c r="AN628" s="1608"/>
      <c r="AO628" s="1609"/>
      <c r="AP628" s="1610"/>
      <c r="AQ628" s="1610"/>
      <c r="AR628" s="1610"/>
      <c r="AS628" s="161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2">
        <f>IF(J760="SRO/Studio",O760,0)</f>
        <v>0</v>
      </c>
      <c r="BO628" s="1513"/>
      <c r="BP628" s="1513"/>
      <c r="BQ628" s="1513"/>
      <c r="BR628" s="1514"/>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63" t="e">
        <f t="shared" si="23"/>
        <v>#VALUE!</v>
      </c>
      <c r="DY628" s="1863"/>
      <c r="DZ628" s="1863"/>
      <c r="EA628" s="1863"/>
      <c r="EB628" s="1863"/>
      <c r="EC628" s="1863">
        <f t="shared" si="24"/>
        <v>240.8</v>
      </c>
      <c r="ED628" s="1863"/>
      <c r="EE628" s="1863"/>
      <c r="EF628" s="1863"/>
      <c r="EG628" s="1863"/>
      <c r="EH628" s="1863" t="e">
        <f t="shared" si="25"/>
        <v>#VALUE!</v>
      </c>
      <c r="EI628" s="1863"/>
      <c r="EJ628" s="1863"/>
      <c r="EK628" s="1863"/>
      <c r="EL628" s="1863"/>
      <c r="EM628" s="1863" t="e">
        <f t="shared" si="26"/>
        <v>#VALUE!</v>
      </c>
      <c r="EN628" s="1863"/>
      <c r="EO628" s="1863"/>
      <c r="EP628" s="1863"/>
      <c r="EQ628" s="1863"/>
      <c r="ER628" s="1863" t="e">
        <f t="shared" si="27"/>
        <v>#VALUE!</v>
      </c>
      <c r="ES628" s="1863"/>
      <c r="ET628" s="1863"/>
      <c r="EU628" s="1863"/>
      <c r="EV628" s="1863"/>
      <c r="EW628" s="1863" t="e">
        <f t="shared" si="28"/>
        <v>#VALUE!</v>
      </c>
      <c r="EX628" s="1863"/>
      <c r="EY628" s="1863"/>
      <c r="EZ628" s="1863"/>
      <c r="FA628" s="1863"/>
    </row>
    <row r="629" spans="1:157" ht="12.95" customHeight="1">
      <c r="B629" s="52" t="s">
        <v>465</v>
      </c>
      <c r="C629" s="1614"/>
      <c r="D629" s="1614"/>
      <c r="E629" s="1614"/>
      <c r="F629" s="1614"/>
      <c r="G629" s="1614"/>
      <c r="H629" s="1614"/>
      <c r="I629" s="1614"/>
      <c r="J629" s="1614"/>
      <c r="K629" s="1614"/>
      <c r="L629" s="1614"/>
      <c r="M629" s="1864" t="s">
        <v>1327</v>
      </c>
      <c r="N629" s="1864"/>
      <c r="O629" s="1864"/>
      <c r="P629" s="1864"/>
      <c r="Q629" s="1865"/>
      <c r="R629" s="1553"/>
      <c r="S629" s="1866"/>
      <c r="T629" s="1865"/>
      <c r="U629" s="1553"/>
      <c r="V629" s="1866"/>
      <c r="W629" s="1603"/>
      <c r="X629" s="1604"/>
      <c r="Y629" s="1605"/>
      <c r="Z629" s="1721" t="s">
        <v>1327</v>
      </c>
      <c r="AA629" s="1722"/>
      <c r="AB629" s="1723"/>
      <c r="AC629" s="1428"/>
      <c r="AD629" s="1429"/>
      <c r="AE629" s="1430"/>
      <c r="AF629" s="1588"/>
      <c r="AG629" s="1589"/>
      <c r="AH629" s="1589"/>
      <c r="AI629" s="1589"/>
      <c r="AJ629" s="1590"/>
      <c r="AK629" s="1606"/>
      <c r="AL629" s="1607"/>
      <c r="AM629" s="1607"/>
      <c r="AN629" s="1608"/>
      <c r="AO629" s="1609"/>
      <c r="AP629" s="1610"/>
      <c r="AQ629" s="1610"/>
      <c r="AR629" s="1610"/>
      <c r="AS629" s="161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2">
        <f>IF(J761="SRO/Studio",O761,0)</f>
        <v>0</v>
      </c>
      <c r="BO629" s="1513"/>
      <c r="BP629" s="1513"/>
      <c r="BQ629" s="1513"/>
      <c r="BR629" s="1514"/>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63" t="e">
        <f t="shared" si="23"/>
        <v>#VALUE!</v>
      </c>
      <c r="DY629" s="1863"/>
      <c r="DZ629" s="1863"/>
      <c r="EA629" s="1863"/>
      <c r="EB629" s="1863"/>
      <c r="EC629" s="1863" t="e">
        <f t="shared" si="24"/>
        <v>#VALUE!</v>
      </c>
      <c r="ED629" s="1863"/>
      <c r="EE629" s="1863"/>
      <c r="EF629" s="1863"/>
      <c r="EG629" s="1863"/>
      <c r="EH629" s="1863">
        <f t="shared" si="25"/>
        <v>92.121212121212125</v>
      </c>
      <c r="EI629" s="1863"/>
      <c r="EJ629" s="1863"/>
      <c r="EK629" s="1863"/>
      <c r="EL629" s="1863"/>
      <c r="EM629" s="1863" t="e">
        <f t="shared" si="26"/>
        <v>#VALUE!</v>
      </c>
      <c r="EN629" s="1863"/>
      <c r="EO629" s="1863"/>
      <c r="EP629" s="1863"/>
      <c r="EQ629" s="1863"/>
      <c r="ER629" s="1863" t="e">
        <f t="shared" si="27"/>
        <v>#VALUE!</v>
      </c>
      <c r="ES629" s="1863"/>
      <c r="ET629" s="1863"/>
      <c r="EU629" s="1863"/>
      <c r="EV629" s="1863"/>
      <c r="EW629" s="1863" t="e">
        <f t="shared" si="28"/>
        <v>#VALUE!</v>
      </c>
      <c r="EX629" s="1863"/>
      <c r="EY629" s="1863"/>
      <c r="EZ629" s="1863"/>
      <c r="FA629" s="1863"/>
    </row>
    <row r="630" spans="1:157" ht="12.95" customHeight="1">
      <c r="B630" s="52" t="s">
        <v>466</v>
      </c>
      <c r="C630" s="1614"/>
      <c r="D630" s="1614"/>
      <c r="E630" s="1614"/>
      <c r="F630" s="1614"/>
      <c r="G630" s="1614"/>
      <c r="H630" s="1614"/>
      <c r="I630" s="1614"/>
      <c r="J630" s="1614"/>
      <c r="K630" s="1614"/>
      <c r="L630" s="1614"/>
      <c r="M630" s="1864" t="s">
        <v>1327</v>
      </c>
      <c r="N630" s="1864"/>
      <c r="O630" s="1864"/>
      <c r="P630" s="1864"/>
      <c r="Q630" s="1865"/>
      <c r="R630" s="1553"/>
      <c r="S630" s="1866"/>
      <c r="T630" s="1865"/>
      <c r="U630" s="1553"/>
      <c r="V630" s="1866"/>
      <c r="W630" s="1603"/>
      <c r="X630" s="1604"/>
      <c r="Y630" s="1605"/>
      <c r="Z630" s="1721" t="s">
        <v>1327</v>
      </c>
      <c r="AA630" s="1722"/>
      <c r="AB630" s="1723"/>
      <c r="AC630" s="1428"/>
      <c r="AD630" s="1429"/>
      <c r="AE630" s="1430"/>
      <c r="AF630" s="1588"/>
      <c r="AG630" s="1589"/>
      <c r="AH630" s="1589"/>
      <c r="AI630" s="1589"/>
      <c r="AJ630" s="1590"/>
      <c r="AK630" s="1606"/>
      <c r="AL630" s="1607"/>
      <c r="AM630" s="1607"/>
      <c r="AN630" s="1608"/>
      <c r="AO630" s="1609"/>
      <c r="AP630" s="1610"/>
      <c r="AQ630" s="1610"/>
      <c r="AR630" s="1610"/>
      <c r="AS630" s="161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1">
        <f>SUM(BN626:BR629)</f>
        <v>0</v>
      </c>
      <c r="BO630" s="1515"/>
      <c r="BP630" s="1515"/>
      <c r="BQ630" s="1515"/>
      <c r="BR630" s="1502"/>
      <c r="BS630" s="1715">
        <f>SUM(BS626:BW629)</f>
        <v>0</v>
      </c>
      <c r="BT630" s="1716"/>
      <c r="BU630" s="1716"/>
      <c r="BV630" s="1716"/>
      <c r="BW630" s="1717"/>
      <c r="BX630" s="1715">
        <f>SUM(BX626:CB629)</f>
        <v>1</v>
      </c>
      <c r="BY630" s="1716"/>
      <c r="BZ630" s="1716"/>
      <c r="CA630" s="1716"/>
      <c r="CB630" s="1717"/>
      <c r="CC630" s="1715">
        <f>SUM(CC626:CG629)</f>
        <v>0</v>
      </c>
      <c r="CD630" s="1716"/>
      <c r="CE630" s="1716"/>
      <c r="CF630" s="1716"/>
      <c r="CG630" s="1717"/>
      <c r="CH630" s="1715">
        <f>SUM(CH626:CL629)</f>
        <v>0</v>
      </c>
      <c r="CI630" s="1716"/>
      <c r="CJ630" s="1716"/>
      <c r="CK630" s="1716"/>
      <c r="CL630" s="1717"/>
      <c r="CM630" s="1715">
        <f>SUM(CM626:CQ629)</f>
        <v>0</v>
      </c>
      <c r="CN630" s="1716"/>
      <c r="CO630" s="1716"/>
      <c r="CP630" s="1716"/>
      <c r="CQ630" s="1717"/>
      <c r="CS630" s="897">
        <f>BN630+BS630+BX630+CC630+CH630+CM630</f>
        <v>1</v>
      </c>
      <c r="CT630" s="57" t="s">
        <v>2123</v>
      </c>
      <c r="CU630" s="3"/>
      <c r="CV630" s="3"/>
      <c r="CW630" s="3"/>
      <c r="CX630" s="3"/>
      <c r="CY630" s="3"/>
      <c r="CZ630" s="3"/>
      <c r="DA630" s="3"/>
      <c r="DB630" s="3"/>
      <c r="DC630" s="3"/>
      <c r="DD630" s="3"/>
      <c r="DE630" s="3"/>
      <c r="DF630" s="3"/>
      <c r="DX630" s="1863" t="e">
        <f t="shared" si="23"/>
        <v>#VALUE!</v>
      </c>
      <c r="DY630" s="1863"/>
      <c r="DZ630" s="1863"/>
      <c r="EA630" s="1863"/>
      <c r="EB630" s="1863"/>
      <c r="EC630" s="1863" t="e">
        <f t="shared" si="24"/>
        <v>#VALUE!</v>
      </c>
      <c r="ED630" s="1863"/>
      <c r="EE630" s="1863"/>
      <c r="EF630" s="1863"/>
      <c r="EG630" s="1863"/>
      <c r="EH630" s="1863">
        <f t="shared" si="25"/>
        <v>50.545454545454547</v>
      </c>
      <c r="EI630" s="1863"/>
      <c r="EJ630" s="1863"/>
      <c r="EK630" s="1863"/>
      <c r="EL630" s="1863"/>
      <c r="EM630" s="1863" t="e">
        <f t="shared" si="26"/>
        <v>#VALUE!</v>
      </c>
      <c r="EN630" s="1863"/>
      <c r="EO630" s="1863"/>
      <c r="EP630" s="1863"/>
      <c r="EQ630" s="1863"/>
      <c r="ER630" s="1863" t="e">
        <f t="shared" si="27"/>
        <v>#VALUE!</v>
      </c>
      <c r="ES630" s="1863"/>
      <c r="ET630" s="1863"/>
      <c r="EU630" s="1863"/>
      <c r="EV630" s="1863"/>
      <c r="EW630" s="1863" t="e">
        <f t="shared" si="28"/>
        <v>#VALUE!</v>
      </c>
      <c r="EX630" s="1863"/>
      <c r="EY630" s="1863"/>
      <c r="EZ630" s="1863"/>
      <c r="FA630" s="1863"/>
    </row>
    <row r="631" spans="1:157" ht="12.95" customHeight="1">
      <c r="B631" s="52" t="s">
        <v>471</v>
      </c>
      <c r="C631" s="1614"/>
      <c r="D631" s="1614"/>
      <c r="E631" s="1614"/>
      <c r="F631" s="1614"/>
      <c r="G631" s="1614"/>
      <c r="H631" s="1614"/>
      <c r="I631" s="1614"/>
      <c r="J631" s="1614"/>
      <c r="K631" s="1614"/>
      <c r="L631" s="1614"/>
      <c r="M631" s="1864" t="s">
        <v>1327</v>
      </c>
      <c r="N631" s="1864"/>
      <c r="O631" s="1864"/>
      <c r="P631" s="1864"/>
      <c r="Q631" s="1865"/>
      <c r="R631" s="1553"/>
      <c r="S631" s="1866"/>
      <c r="T631" s="1865"/>
      <c r="U631" s="1553"/>
      <c r="V631" s="1866"/>
      <c r="W631" s="1603"/>
      <c r="X631" s="1604"/>
      <c r="Y631" s="1605"/>
      <c r="Z631" s="1721" t="s">
        <v>1327</v>
      </c>
      <c r="AA631" s="1722"/>
      <c r="AB631" s="1723"/>
      <c r="AC631" s="1428"/>
      <c r="AD631" s="1429"/>
      <c r="AE631" s="1430"/>
      <c r="AF631" s="1588"/>
      <c r="AG631" s="1589"/>
      <c r="AH631" s="1589"/>
      <c r="AI631" s="1589"/>
      <c r="AJ631" s="1590"/>
      <c r="AK631" s="1606"/>
      <c r="AL631" s="1607"/>
      <c r="AM631" s="1607"/>
      <c r="AN631" s="1608"/>
      <c r="AO631" s="1609"/>
      <c r="AP631" s="1610"/>
      <c r="AQ631" s="1610"/>
      <c r="AR631" s="1610"/>
      <c r="AS631" s="161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63" t="e">
        <f t="shared" si="23"/>
        <v>#VALUE!</v>
      </c>
      <c r="DY631" s="1863"/>
      <c r="DZ631" s="1863"/>
      <c r="EA631" s="1863"/>
      <c r="EB631" s="1863"/>
      <c r="EC631" s="1863" t="e">
        <f t="shared" si="24"/>
        <v>#VALUE!</v>
      </c>
      <c r="ED631" s="1863"/>
      <c r="EE631" s="1863"/>
      <c r="EF631" s="1863"/>
      <c r="EG631" s="1863"/>
      <c r="EH631" s="1863">
        <f t="shared" si="25"/>
        <v>62.898181818181818</v>
      </c>
      <c r="EI631" s="1863"/>
      <c r="EJ631" s="1863"/>
      <c r="EK631" s="1863"/>
      <c r="EL631" s="1863"/>
      <c r="EM631" s="1863" t="e">
        <f t="shared" si="26"/>
        <v>#VALUE!</v>
      </c>
      <c r="EN631" s="1863"/>
      <c r="EO631" s="1863"/>
      <c r="EP631" s="1863"/>
      <c r="EQ631" s="1863"/>
      <c r="ER631" s="1863" t="e">
        <f t="shared" si="27"/>
        <v>#VALUE!</v>
      </c>
      <c r="ES631" s="1863"/>
      <c r="ET631" s="1863"/>
      <c r="EU631" s="1863"/>
      <c r="EV631" s="1863"/>
      <c r="EW631" s="1863" t="e">
        <f t="shared" si="28"/>
        <v>#VALUE!</v>
      </c>
      <c r="EX631" s="1863"/>
      <c r="EY631" s="1863"/>
      <c r="EZ631" s="1863"/>
      <c r="FA631" s="1863"/>
    </row>
    <row r="632" spans="1:157" ht="12.95" customHeight="1">
      <c r="B632" s="52" t="s">
        <v>656</v>
      </c>
      <c r="C632" s="1614"/>
      <c r="D632" s="1614"/>
      <c r="E632" s="1614"/>
      <c r="F632" s="1614"/>
      <c r="G632" s="1614"/>
      <c r="H632" s="1614"/>
      <c r="I632" s="1614"/>
      <c r="J632" s="1614"/>
      <c r="K632" s="1614"/>
      <c r="L632" s="1614"/>
      <c r="M632" s="1864" t="s">
        <v>1327</v>
      </c>
      <c r="N632" s="1864"/>
      <c r="O632" s="1864"/>
      <c r="P632" s="1864"/>
      <c r="Q632" s="1865"/>
      <c r="R632" s="1553"/>
      <c r="S632" s="1866"/>
      <c r="T632" s="1865"/>
      <c r="U632" s="1553"/>
      <c r="V632" s="1866"/>
      <c r="W632" s="1603"/>
      <c r="X632" s="1604"/>
      <c r="Y632" s="1605"/>
      <c r="Z632" s="1721" t="s">
        <v>1327</v>
      </c>
      <c r="AA632" s="1722"/>
      <c r="AB632" s="1723"/>
      <c r="AC632" s="1428"/>
      <c r="AD632" s="1429"/>
      <c r="AE632" s="1430"/>
      <c r="AF632" s="1588"/>
      <c r="AG632" s="1589"/>
      <c r="AH632" s="1589"/>
      <c r="AI632" s="1589"/>
      <c r="AJ632" s="1590"/>
      <c r="AK632" s="1606"/>
      <c r="AL632" s="1607"/>
      <c r="AM632" s="1607"/>
      <c r="AN632" s="1608"/>
      <c r="AO632" s="1609"/>
      <c r="AP632" s="1610"/>
      <c r="AQ632" s="1610"/>
      <c r="AR632" s="1610"/>
      <c r="AS632" s="161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3" t="e">
        <f t="shared" si="23"/>
        <v>#VALUE!</v>
      </c>
      <c r="DY632" s="1863"/>
      <c r="DZ632" s="1863"/>
      <c r="EA632" s="1863"/>
      <c r="EB632" s="1863"/>
      <c r="EC632" s="1863" t="e">
        <f t="shared" si="24"/>
        <v>#VALUE!</v>
      </c>
      <c r="ED632" s="1863"/>
      <c r="EE632" s="1863"/>
      <c r="EF632" s="1863"/>
      <c r="EG632" s="1863"/>
      <c r="EH632" s="1863">
        <f t="shared" si="25"/>
        <v>236.42181818181817</v>
      </c>
      <c r="EI632" s="1863"/>
      <c r="EJ632" s="1863"/>
      <c r="EK632" s="1863"/>
      <c r="EL632" s="1863"/>
      <c r="EM632" s="1863" t="e">
        <f t="shared" si="26"/>
        <v>#VALUE!</v>
      </c>
      <c r="EN632" s="1863"/>
      <c r="EO632" s="1863"/>
      <c r="EP632" s="1863"/>
      <c r="EQ632" s="1863"/>
      <c r="ER632" s="1863" t="e">
        <f t="shared" si="27"/>
        <v>#VALUE!</v>
      </c>
      <c r="ES632" s="1863"/>
      <c r="ET632" s="1863"/>
      <c r="EU632" s="1863"/>
      <c r="EV632" s="1863"/>
      <c r="EW632" s="1863" t="e">
        <f t="shared" si="28"/>
        <v>#VALUE!</v>
      </c>
      <c r="EX632" s="1863"/>
      <c r="EY632" s="1863"/>
      <c r="EZ632" s="1863"/>
      <c r="FA632" s="1863"/>
    </row>
    <row r="633" spans="1:157" ht="12.95" customHeight="1">
      <c r="B633" s="52" t="s">
        <v>364</v>
      </c>
      <c r="C633" s="1614"/>
      <c r="D633" s="1614"/>
      <c r="E633" s="1614"/>
      <c r="F633" s="1614"/>
      <c r="G633" s="1614"/>
      <c r="H633" s="1614"/>
      <c r="I633" s="1614"/>
      <c r="J633" s="1614"/>
      <c r="K633" s="1614"/>
      <c r="L633" s="1614"/>
      <c r="M633" s="1864" t="s">
        <v>1327</v>
      </c>
      <c r="N633" s="1864"/>
      <c r="O633" s="1864"/>
      <c r="P633" s="1864"/>
      <c r="Q633" s="1865"/>
      <c r="R633" s="1553"/>
      <c r="S633" s="1866"/>
      <c r="T633" s="1865"/>
      <c r="U633" s="1553"/>
      <c r="V633" s="1866"/>
      <c r="W633" s="1603"/>
      <c r="X633" s="1604"/>
      <c r="Y633" s="1605"/>
      <c r="Z633" s="1721" t="s">
        <v>1327</v>
      </c>
      <c r="AA633" s="1722"/>
      <c r="AB633" s="1723"/>
      <c r="AC633" s="1428"/>
      <c r="AD633" s="1429"/>
      <c r="AE633" s="1430"/>
      <c r="AF633" s="1588"/>
      <c r="AG633" s="1589"/>
      <c r="AH633" s="1589"/>
      <c r="AI633" s="1589"/>
      <c r="AJ633" s="1590"/>
      <c r="AK633" s="1606"/>
      <c r="AL633" s="1607"/>
      <c r="AM633" s="1607"/>
      <c r="AN633" s="1608"/>
      <c r="AO633" s="1609"/>
      <c r="AP633" s="1610"/>
      <c r="AQ633" s="1610"/>
      <c r="AR633" s="1610"/>
      <c r="AS633" s="161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63" t="e">
        <f t="shared" si="23"/>
        <v>#VALUE!</v>
      </c>
      <c r="DY633" s="1863"/>
      <c r="DZ633" s="1863"/>
      <c r="EA633" s="1863"/>
      <c r="EB633" s="1863"/>
      <c r="EC633" s="1863" t="e">
        <f t="shared" si="24"/>
        <v>#VALUE!</v>
      </c>
      <c r="ED633" s="1863"/>
      <c r="EE633" s="1863"/>
      <c r="EF633" s="1863"/>
      <c r="EG633" s="1863"/>
      <c r="EH633" s="1863">
        <f t="shared" si="25"/>
        <v>316.02424242424246</v>
      </c>
      <c r="EI633" s="1863"/>
      <c r="EJ633" s="1863"/>
      <c r="EK633" s="1863"/>
      <c r="EL633" s="1863"/>
      <c r="EM633" s="1863" t="e">
        <f t="shared" si="26"/>
        <v>#VALUE!</v>
      </c>
      <c r="EN633" s="1863"/>
      <c r="EO633" s="1863"/>
      <c r="EP633" s="1863"/>
      <c r="EQ633" s="1863"/>
      <c r="ER633" s="1863" t="e">
        <f t="shared" si="27"/>
        <v>#VALUE!</v>
      </c>
      <c r="ES633" s="1863"/>
      <c r="ET633" s="1863"/>
      <c r="EU633" s="1863"/>
      <c r="EV633" s="1863"/>
      <c r="EW633" s="1863" t="e">
        <f t="shared" si="28"/>
        <v>#VALUE!</v>
      </c>
      <c r="EX633" s="1863"/>
      <c r="EY633" s="1863"/>
      <c r="EZ633" s="1863"/>
      <c r="FA633" s="1863"/>
    </row>
    <row r="634" spans="1:157" ht="12.95" customHeight="1">
      <c r="B634" s="52" t="s">
        <v>365</v>
      </c>
      <c r="C634" s="1614"/>
      <c r="D634" s="1614"/>
      <c r="E634" s="1614"/>
      <c r="F634" s="1614"/>
      <c r="G634" s="1614"/>
      <c r="H634" s="1614"/>
      <c r="I634" s="1614"/>
      <c r="J634" s="1614"/>
      <c r="K634" s="1614"/>
      <c r="L634" s="1614"/>
      <c r="M634" s="1864" t="s">
        <v>1327</v>
      </c>
      <c r="N634" s="1864"/>
      <c r="O634" s="1864"/>
      <c r="P634" s="1864"/>
      <c r="Q634" s="1865"/>
      <c r="R634" s="1553"/>
      <c r="S634" s="1866"/>
      <c r="T634" s="1865"/>
      <c r="U634" s="1553"/>
      <c r="V634" s="1866"/>
      <c r="W634" s="1603"/>
      <c r="X634" s="1604"/>
      <c r="Y634" s="1605"/>
      <c r="Z634" s="1721" t="s">
        <v>1327</v>
      </c>
      <c r="AA634" s="1722"/>
      <c r="AB634" s="1723"/>
      <c r="AC634" s="1428"/>
      <c r="AD634" s="1429"/>
      <c r="AE634" s="1430"/>
      <c r="AF634" s="1588"/>
      <c r="AG634" s="1589"/>
      <c r="AH634" s="1589"/>
      <c r="AI634" s="1589"/>
      <c r="AJ634" s="1590"/>
      <c r="AK634" s="1606"/>
      <c r="AL634" s="1607"/>
      <c r="AM634" s="1607"/>
      <c r="AN634" s="1608"/>
      <c r="AO634" s="1609"/>
      <c r="AP634" s="1610"/>
      <c r="AQ634" s="1610"/>
      <c r="AR634" s="1610"/>
      <c r="AS634" s="161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2">
        <f t="shared" ref="BN634:BN643" si="30">IF(J772="SRO/Studio",O772,0)</f>
        <v>0</v>
      </c>
      <c r="BO634" s="1513"/>
      <c r="BP634" s="1513"/>
      <c r="BQ634" s="1513"/>
      <c r="BR634" s="1514"/>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12">
        <f>IF(AND(BN634&gt;=1,AH772&gt;=0.1,AH772&lt;=1),O772,0)</f>
        <v>0</v>
      </c>
      <c r="CT634" s="1513"/>
      <c r="CU634" s="1513"/>
      <c r="CV634" s="1513"/>
      <c r="CW634" s="1514"/>
      <c r="CX634" s="1512">
        <f>IF(AND(BS634&gt;=1,AH772&gt;=0.1,AH772&lt;=1),O772,0)</f>
        <v>0</v>
      </c>
      <c r="CY634" s="1513"/>
      <c r="CZ634" s="1513"/>
      <c r="DA634" s="1513"/>
      <c r="DB634" s="1514"/>
      <c r="DC634" s="1512">
        <f>IF(AND(BX634&gt;=1,AH772&gt;=0.1,AH772&lt;=1),O772,0)</f>
        <v>0</v>
      </c>
      <c r="DD634" s="1513"/>
      <c r="DE634" s="1513"/>
      <c r="DF634" s="1513"/>
      <c r="DG634" s="1514"/>
      <c r="DH634" s="1512">
        <f>IF(AND(CC634&gt;=1,AH772&gt;=0.1,AH772&lt;=1),O772,0)</f>
        <v>0</v>
      </c>
      <c r="DI634" s="1513"/>
      <c r="DJ634" s="1513"/>
      <c r="DK634" s="1513"/>
      <c r="DL634" s="1514"/>
      <c r="DM634" s="1512">
        <f>IF(AND(CH634&gt;=1,AH772&gt;=0.1,AH772&lt;=1),O772,0)</f>
        <v>0</v>
      </c>
      <c r="DN634" s="1513"/>
      <c r="DO634" s="1513"/>
      <c r="DP634" s="1513"/>
      <c r="DQ634" s="1514"/>
      <c r="DR634" s="1512">
        <f>IF(AND(CM634&gt;=1,AH772&gt;=0.1,AH772&lt;=1),O772,0)</f>
        <v>0</v>
      </c>
      <c r="DS634" s="1513"/>
      <c r="DT634" s="1513"/>
      <c r="DU634" s="1513"/>
      <c r="DV634" s="1514"/>
      <c r="DX634" s="1863" t="e">
        <f t="shared" si="23"/>
        <v>#VALUE!</v>
      </c>
      <c r="DY634" s="1863"/>
      <c r="DZ634" s="1863"/>
      <c r="EA634" s="1863"/>
      <c r="EB634" s="1863"/>
      <c r="EC634" s="1863" t="e">
        <f t="shared" si="24"/>
        <v>#VALUE!</v>
      </c>
      <c r="ED634" s="1863"/>
      <c r="EE634" s="1863"/>
      <c r="EF634" s="1863"/>
      <c r="EG634" s="1863"/>
      <c r="EH634" s="1863" t="e">
        <f t="shared" si="25"/>
        <v>#VALUE!</v>
      </c>
      <c r="EI634" s="1863"/>
      <c r="EJ634" s="1863"/>
      <c r="EK634" s="1863"/>
      <c r="EL634" s="1863"/>
      <c r="EM634" s="1863">
        <f t="shared" si="26"/>
        <v>121.3888888888889</v>
      </c>
      <c r="EN634" s="1863"/>
      <c r="EO634" s="1863"/>
      <c r="EP634" s="1863"/>
      <c r="EQ634" s="1863"/>
      <c r="ER634" s="1863" t="e">
        <f t="shared" si="27"/>
        <v>#VALUE!</v>
      </c>
      <c r="ES634" s="1863"/>
      <c r="ET634" s="1863"/>
      <c r="EU634" s="1863"/>
      <c r="EV634" s="1863"/>
      <c r="EW634" s="1863" t="e">
        <f t="shared" si="28"/>
        <v>#VALUE!</v>
      </c>
      <c r="EX634" s="1863"/>
      <c r="EY634" s="1863"/>
      <c r="EZ634" s="1863"/>
      <c r="FA634" s="1863"/>
    </row>
    <row r="635" spans="1:157" ht="12.95" customHeight="1">
      <c r="B635" s="1522" t="s">
        <v>129</v>
      </c>
      <c r="C635" s="1523"/>
      <c r="D635" s="1523"/>
      <c r="E635" s="1523"/>
      <c r="F635" s="1523"/>
      <c r="G635" s="1523"/>
      <c r="H635" s="1523"/>
      <c r="I635" s="1523"/>
      <c r="J635" s="1523"/>
      <c r="K635" s="1523"/>
      <c r="L635" s="1523"/>
      <c r="M635" s="1523"/>
      <c r="N635" s="1523"/>
      <c r="O635" s="1523"/>
      <c r="P635" s="1523"/>
      <c r="Q635" s="1523"/>
      <c r="R635" s="1523"/>
      <c r="S635" s="1523"/>
      <c r="T635" s="1523"/>
      <c r="U635" s="1523"/>
      <c r="V635" s="1523"/>
      <c r="W635" s="1523"/>
      <c r="X635" s="1523"/>
      <c r="Y635" s="1523"/>
      <c r="Z635" s="1523"/>
      <c r="AA635" s="1523"/>
      <c r="AB635" s="1523"/>
      <c r="AC635" s="1523"/>
      <c r="AD635" s="1523"/>
      <c r="AE635" s="1523"/>
      <c r="AF635" s="1523"/>
      <c r="AG635" s="1523"/>
      <c r="AH635" s="1523"/>
      <c r="AI635" s="1523"/>
      <c r="AJ635" s="1523"/>
      <c r="AK635" s="1523"/>
      <c r="AL635" s="1523"/>
      <c r="AM635" s="1523"/>
      <c r="AN635" s="1525"/>
      <c r="AO635" s="1519">
        <f>SUM(AO623:AR634)</f>
        <v>19905686</v>
      </c>
      <c r="AP635" s="1520"/>
      <c r="AQ635" s="1520"/>
      <c r="AR635" s="1520"/>
      <c r="AS635" s="1521"/>
      <c r="AZ635" s="3"/>
      <c r="BA635" s="3"/>
      <c r="BB635" s="3"/>
      <c r="BC635" s="3"/>
      <c r="BD635" s="3"/>
      <c r="BE635" s="3"/>
      <c r="BF635" s="3"/>
      <c r="BG635" s="3"/>
      <c r="BH635" s="3"/>
      <c r="BI635" s="3"/>
      <c r="BJ635" s="3"/>
      <c r="BK635" s="3"/>
      <c r="BL635" s="3"/>
      <c r="BM635" s="3"/>
      <c r="BN635" s="1512">
        <f t="shared" si="30"/>
        <v>0</v>
      </c>
      <c r="BO635" s="1513"/>
      <c r="BP635" s="1513"/>
      <c r="BQ635" s="1513"/>
      <c r="BR635" s="1514"/>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12">
        <f t="shared" ref="CS635:CS643" si="36">IF(AND(BN635&gt;=1,AH773&gt;=0.1,AH773&lt;=1),O773,0)</f>
        <v>0</v>
      </c>
      <c r="CT635" s="1513"/>
      <c r="CU635" s="1513"/>
      <c r="CV635" s="1513"/>
      <c r="CW635" s="1514"/>
      <c r="CX635" s="1512">
        <f t="shared" ref="CX635:CX643" si="37">IF(AND(BS635&gt;=1,AH773&gt;=0.1,AH773&lt;=1),O773,0)</f>
        <v>0</v>
      </c>
      <c r="CY635" s="1513"/>
      <c r="CZ635" s="1513"/>
      <c r="DA635" s="1513"/>
      <c r="DB635" s="1514"/>
      <c r="DC635" s="1512">
        <f t="shared" ref="DC635:DC643" si="38">IF(AND(BX635&gt;=1,AH773&gt;=0.1,AH773&lt;=1),O773,0)</f>
        <v>0</v>
      </c>
      <c r="DD635" s="1513"/>
      <c r="DE635" s="1513"/>
      <c r="DF635" s="1513"/>
      <c r="DG635" s="1514"/>
      <c r="DH635" s="1512">
        <f t="shared" ref="DH635:DH643" si="39">IF(AND(CC635&gt;=1,AH773&gt;=0.1,AH773&lt;=1),O773,0)</f>
        <v>0</v>
      </c>
      <c r="DI635" s="1513"/>
      <c r="DJ635" s="1513"/>
      <c r="DK635" s="1513"/>
      <c r="DL635" s="1514"/>
      <c r="DM635" s="1512">
        <f t="shared" ref="DM635:DM643" si="40">IF(AND(CH635&gt;=1,AH773&gt;=0.1,AH773&lt;=1),O773,0)</f>
        <v>0</v>
      </c>
      <c r="DN635" s="1513"/>
      <c r="DO635" s="1513"/>
      <c r="DP635" s="1513"/>
      <c r="DQ635" s="1514"/>
      <c r="DR635" s="1512">
        <f t="shared" ref="DR635:DR643" si="41">IF(AND(CM635&gt;=1,AH773&gt;=0.1,AH773&lt;=1),O773,0)</f>
        <v>0</v>
      </c>
      <c r="DS635" s="1513"/>
      <c r="DT635" s="1513"/>
      <c r="DU635" s="1513"/>
      <c r="DV635" s="1514"/>
      <c r="DX635" s="1863" t="e">
        <f t="shared" si="23"/>
        <v>#VALUE!</v>
      </c>
      <c r="DY635" s="1863"/>
      <c r="DZ635" s="1863"/>
      <c r="EA635" s="1863"/>
      <c r="EB635" s="1863"/>
      <c r="EC635" s="1863" t="e">
        <f t="shared" si="24"/>
        <v>#VALUE!</v>
      </c>
      <c r="ED635" s="1863"/>
      <c r="EE635" s="1863"/>
      <c r="EF635" s="1863"/>
      <c r="EG635" s="1863"/>
      <c r="EH635" s="1863" t="e">
        <f t="shared" si="25"/>
        <v>#VALUE!</v>
      </c>
      <c r="EI635" s="1863"/>
      <c r="EJ635" s="1863"/>
      <c r="EK635" s="1863"/>
      <c r="EL635" s="1863"/>
      <c r="EM635" s="1863">
        <f t="shared" si="26"/>
        <v>71.111111111111114</v>
      </c>
      <c r="EN635" s="1863"/>
      <c r="EO635" s="1863"/>
      <c r="EP635" s="1863"/>
      <c r="EQ635" s="1863"/>
      <c r="ER635" s="1863" t="e">
        <f t="shared" si="27"/>
        <v>#VALUE!</v>
      </c>
      <c r="ES635" s="1863"/>
      <c r="ET635" s="1863"/>
      <c r="EU635" s="1863"/>
      <c r="EV635" s="1863"/>
      <c r="EW635" s="1863" t="e">
        <f t="shared" si="28"/>
        <v>#VALUE!</v>
      </c>
      <c r="EX635" s="1863"/>
      <c r="EY635" s="1863"/>
      <c r="EZ635" s="1863"/>
      <c r="FA635" s="1863"/>
    </row>
    <row r="636" spans="1:157" ht="12.95" customHeight="1">
      <c r="B636" s="1522" t="s">
        <v>269</v>
      </c>
      <c r="C636" s="1523"/>
      <c r="D636" s="1523"/>
      <c r="E636" s="1523"/>
      <c r="F636" s="1523"/>
      <c r="G636" s="1523"/>
      <c r="H636" s="1523"/>
      <c r="I636" s="1523"/>
      <c r="J636" s="1523"/>
      <c r="K636" s="1523"/>
      <c r="L636" s="1523"/>
      <c r="M636" s="1523"/>
      <c r="N636" s="1523"/>
      <c r="O636" s="1523"/>
      <c r="P636" s="1523"/>
      <c r="Q636" s="1523"/>
      <c r="R636" s="1523"/>
      <c r="S636" s="1523"/>
      <c r="T636" s="1523"/>
      <c r="U636" s="1523"/>
      <c r="V636" s="1523"/>
      <c r="W636" s="1523"/>
      <c r="X636" s="1523"/>
      <c r="Y636" s="1523"/>
      <c r="Z636" s="1523"/>
      <c r="AA636" s="1523"/>
      <c r="AB636" s="1523"/>
      <c r="AC636" s="1523"/>
      <c r="AD636" s="1523"/>
      <c r="AE636" s="1523"/>
      <c r="AF636" s="1523"/>
      <c r="AG636" s="1523"/>
      <c r="AH636" s="1523"/>
      <c r="AI636" s="1523"/>
      <c r="AJ636" s="1523"/>
      <c r="AK636" s="1523"/>
      <c r="AL636" s="1523"/>
      <c r="AM636" s="1523"/>
      <c r="AN636" s="1525"/>
      <c r="AO636" s="1609">
        <v>24131131</v>
      </c>
      <c r="AP636" s="1610"/>
      <c r="AQ636" s="1610"/>
      <c r="AR636" s="1610"/>
      <c r="AS636" s="1611"/>
      <c r="AZ636" s="34"/>
      <c r="BA636" s="34"/>
      <c r="BB636" s="34"/>
      <c r="BC636" s="34"/>
      <c r="BD636" s="34"/>
      <c r="BE636" s="34"/>
      <c r="BF636" s="34"/>
      <c r="BG636" s="34"/>
      <c r="BH636" s="34"/>
      <c r="BI636" s="34"/>
      <c r="BJ636" s="34"/>
      <c r="BK636" s="34"/>
      <c r="BL636" s="34"/>
      <c r="BM636" s="34"/>
      <c r="BN636" s="1512">
        <f t="shared" si="30"/>
        <v>0</v>
      </c>
      <c r="BO636" s="1513"/>
      <c r="BP636" s="1513"/>
      <c r="BQ636" s="1513"/>
      <c r="BR636" s="1514"/>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12">
        <f t="shared" si="36"/>
        <v>0</v>
      </c>
      <c r="CT636" s="1513"/>
      <c r="CU636" s="1513"/>
      <c r="CV636" s="1513"/>
      <c r="CW636" s="1514"/>
      <c r="CX636" s="1512">
        <f t="shared" si="37"/>
        <v>0</v>
      </c>
      <c r="CY636" s="1513"/>
      <c r="CZ636" s="1513"/>
      <c r="DA636" s="1513"/>
      <c r="DB636" s="1514"/>
      <c r="DC636" s="1512">
        <f t="shared" si="38"/>
        <v>0</v>
      </c>
      <c r="DD636" s="1513"/>
      <c r="DE636" s="1513"/>
      <c r="DF636" s="1513"/>
      <c r="DG636" s="1514"/>
      <c r="DH636" s="1512">
        <f t="shared" si="39"/>
        <v>0</v>
      </c>
      <c r="DI636" s="1513"/>
      <c r="DJ636" s="1513"/>
      <c r="DK636" s="1513"/>
      <c r="DL636" s="1514"/>
      <c r="DM636" s="1512">
        <f t="shared" si="40"/>
        <v>0</v>
      </c>
      <c r="DN636" s="1513"/>
      <c r="DO636" s="1513"/>
      <c r="DP636" s="1513"/>
      <c r="DQ636" s="1514"/>
      <c r="DR636" s="1512">
        <f t="shared" si="41"/>
        <v>0</v>
      </c>
      <c r="DS636" s="1513"/>
      <c r="DT636" s="1513"/>
      <c r="DU636" s="1513"/>
      <c r="DV636" s="1514"/>
      <c r="DX636" s="1863" t="e">
        <f t="shared" si="23"/>
        <v>#VALUE!</v>
      </c>
      <c r="DY636" s="1863"/>
      <c r="DZ636" s="1863"/>
      <c r="EA636" s="1863"/>
      <c r="EB636" s="1863"/>
      <c r="EC636" s="1863" t="e">
        <f t="shared" si="24"/>
        <v>#VALUE!</v>
      </c>
      <c r="ED636" s="1863"/>
      <c r="EE636" s="1863"/>
      <c r="EF636" s="1863"/>
      <c r="EG636" s="1863"/>
      <c r="EH636" s="1863" t="e">
        <f t="shared" si="25"/>
        <v>#VALUE!</v>
      </c>
      <c r="EI636" s="1863"/>
      <c r="EJ636" s="1863"/>
      <c r="EK636" s="1863"/>
      <c r="EL636" s="1863"/>
      <c r="EM636" s="1863">
        <f t="shared" si="26"/>
        <v>44.437777777777775</v>
      </c>
      <c r="EN636" s="1863"/>
      <c r="EO636" s="1863"/>
      <c r="EP636" s="1863"/>
      <c r="EQ636" s="1863"/>
      <c r="ER636" s="1863" t="e">
        <f t="shared" si="27"/>
        <v>#VALUE!</v>
      </c>
      <c r="ES636" s="1863"/>
      <c r="ET636" s="1863"/>
      <c r="EU636" s="1863"/>
      <c r="EV636" s="1863"/>
      <c r="EW636" s="1863" t="e">
        <f t="shared" si="28"/>
        <v>#VALUE!</v>
      </c>
      <c r="EX636" s="1863"/>
      <c r="EY636" s="1863"/>
      <c r="EZ636" s="1863"/>
      <c r="FA636" s="1863"/>
    </row>
    <row r="637" spans="1:157" ht="12.95" customHeight="1">
      <c r="B637" s="1586" t="s">
        <v>270</v>
      </c>
      <c r="C637" s="1524"/>
      <c r="D637" s="1524"/>
      <c r="E637" s="1524"/>
      <c r="F637" s="1524"/>
      <c r="G637" s="1524"/>
      <c r="H637" s="1524"/>
      <c r="I637" s="1524"/>
      <c r="J637" s="1524"/>
      <c r="K637" s="1524"/>
      <c r="L637" s="1524"/>
      <c r="M637" s="1524"/>
      <c r="N637" s="1524"/>
      <c r="O637" s="1524"/>
      <c r="P637" s="1524"/>
      <c r="Q637" s="1524"/>
      <c r="R637" s="1524"/>
      <c r="S637" s="1524"/>
      <c r="T637" s="1524"/>
      <c r="U637" s="1524"/>
      <c r="V637" s="1524"/>
      <c r="W637" s="1524"/>
      <c r="X637" s="1524"/>
      <c r="Y637" s="1524"/>
      <c r="Z637" s="1524"/>
      <c r="AA637" s="1524"/>
      <c r="AB637" s="1524"/>
      <c r="AC637" s="1524"/>
      <c r="AD637" s="1524"/>
      <c r="AE637" s="1524"/>
      <c r="AF637" s="1524"/>
      <c r="AG637" s="1524"/>
      <c r="AH637" s="1524"/>
      <c r="AI637" s="1524"/>
      <c r="AJ637" s="1524"/>
      <c r="AK637" s="1524"/>
      <c r="AL637" s="1524"/>
      <c r="AM637" s="1524"/>
      <c r="AN637" s="1587"/>
      <c r="AO637" s="1519">
        <f>AO635+AO636</f>
        <v>44036817</v>
      </c>
      <c r="AP637" s="1520"/>
      <c r="AQ637" s="1520"/>
      <c r="AR637" s="1520"/>
      <c r="AS637" s="1521"/>
      <c r="AZ637" s="34"/>
      <c r="BA637" s="34"/>
      <c r="BB637" s="34"/>
      <c r="BC637" s="34"/>
      <c r="BD637" s="34"/>
      <c r="BE637" s="34"/>
      <c r="BF637" s="34"/>
      <c r="BG637" s="34"/>
      <c r="BH637" s="34"/>
      <c r="BI637" s="34"/>
      <c r="BJ637" s="34"/>
      <c r="BK637" s="34"/>
      <c r="BL637" s="34"/>
      <c r="BM637" s="34"/>
      <c r="BN637" s="1512">
        <f t="shared" si="30"/>
        <v>0</v>
      </c>
      <c r="BO637" s="1513"/>
      <c r="BP637" s="1513"/>
      <c r="BQ637" s="1513"/>
      <c r="BR637" s="1514"/>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12">
        <f t="shared" si="36"/>
        <v>0</v>
      </c>
      <c r="CT637" s="1513"/>
      <c r="CU637" s="1513"/>
      <c r="CV637" s="1513"/>
      <c r="CW637" s="1514"/>
      <c r="CX637" s="1512">
        <f t="shared" si="37"/>
        <v>0</v>
      </c>
      <c r="CY637" s="1513"/>
      <c r="CZ637" s="1513"/>
      <c r="DA637" s="1513"/>
      <c r="DB637" s="1514"/>
      <c r="DC637" s="1512">
        <f t="shared" si="38"/>
        <v>0</v>
      </c>
      <c r="DD637" s="1513"/>
      <c r="DE637" s="1513"/>
      <c r="DF637" s="1513"/>
      <c r="DG637" s="1514"/>
      <c r="DH637" s="1512">
        <f t="shared" si="39"/>
        <v>0</v>
      </c>
      <c r="DI637" s="1513"/>
      <c r="DJ637" s="1513"/>
      <c r="DK637" s="1513"/>
      <c r="DL637" s="1514"/>
      <c r="DM637" s="1512">
        <f t="shared" si="40"/>
        <v>0</v>
      </c>
      <c r="DN637" s="1513"/>
      <c r="DO637" s="1513"/>
      <c r="DP637" s="1513"/>
      <c r="DQ637" s="1514"/>
      <c r="DR637" s="1512">
        <f t="shared" si="41"/>
        <v>0</v>
      </c>
      <c r="DS637" s="1513"/>
      <c r="DT637" s="1513"/>
      <c r="DU637" s="1513"/>
      <c r="DV637" s="1514"/>
      <c r="DX637" s="1863" t="e">
        <f t="shared" si="23"/>
        <v>#VALUE!</v>
      </c>
      <c r="DY637" s="1863"/>
      <c r="DZ637" s="1863"/>
      <c r="EA637" s="1863"/>
      <c r="EB637" s="1863"/>
      <c r="EC637" s="1863" t="e">
        <f t="shared" si="24"/>
        <v>#VALUE!</v>
      </c>
      <c r="ED637" s="1863"/>
      <c r="EE637" s="1863"/>
      <c r="EF637" s="1863"/>
      <c r="EG637" s="1863"/>
      <c r="EH637" s="1863" t="e">
        <f t="shared" si="25"/>
        <v>#VALUE!</v>
      </c>
      <c r="EI637" s="1863"/>
      <c r="EJ637" s="1863"/>
      <c r="EK637" s="1863"/>
      <c r="EL637" s="1863"/>
      <c r="EM637" s="1863">
        <f t="shared" si="26"/>
        <v>278.57777777777778</v>
      </c>
      <c r="EN637" s="1863"/>
      <c r="EO637" s="1863"/>
      <c r="EP637" s="1863"/>
      <c r="EQ637" s="1863"/>
      <c r="ER637" s="1863" t="e">
        <f t="shared" si="27"/>
        <v>#VALUE!</v>
      </c>
      <c r="ES637" s="1863"/>
      <c r="ET637" s="1863"/>
      <c r="EU637" s="1863"/>
      <c r="EV637" s="1863"/>
      <c r="EW637" s="1863" t="e">
        <f t="shared" si="28"/>
        <v>#VALUE!</v>
      </c>
      <c r="EX637" s="1863"/>
      <c r="EY637" s="1863"/>
      <c r="EZ637" s="1863"/>
      <c r="FA637" s="1863"/>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2">
        <f t="shared" si="30"/>
        <v>0</v>
      </c>
      <c r="BO638" s="1513"/>
      <c r="BP638" s="1513"/>
      <c r="BQ638" s="1513"/>
      <c r="BR638" s="1514"/>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12">
        <f t="shared" si="36"/>
        <v>0</v>
      </c>
      <c r="CT638" s="1513"/>
      <c r="CU638" s="1513"/>
      <c r="CV638" s="1513"/>
      <c r="CW638" s="1514"/>
      <c r="CX638" s="1512">
        <f t="shared" si="37"/>
        <v>0</v>
      </c>
      <c r="CY638" s="1513"/>
      <c r="CZ638" s="1513"/>
      <c r="DA638" s="1513"/>
      <c r="DB638" s="1514"/>
      <c r="DC638" s="1512">
        <f t="shared" si="38"/>
        <v>0</v>
      </c>
      <c r="DD638" s="1513"/>
      <c r="DE638" s="1513"/>
      <c r="DF638" s="1513"/>
      <c r="DG638" s="1514"/>
      <c r="DH638" s="1512">
        <f t="shared" si="39"/>
        <v>0</v>
      </c>
      <c r="DI638" s="1513"/>
      <c r="DJ638" s="1513"/>
      <c r="DK638" s="1513"/>
      <c r="DL638" s="1514"/>
      <c r="DM638" s="1512">
        <f t="shared" si="40"/>
        <v>0</v>
      </c>
      <c r="DN638" s="1513"/>
      <c r="DO638" s="1513"/>
      <c r="DP638" s="1513"/>
      <c r="DQ638" s="1514"/>
      <c r="DR638" s="1512">
        <f t="shared" si="41"/>
        <v>0</v>
      </c>
      <c r="DS638" s="1513"/>
      <c r="DT638" s="1513"/>
      <c r="DU638" s="1513"/>
      <c r="DV638" s="1514"/>
      <c r="DX638" s="1863" t="e">
        <f t="shared" si="23"/>
        <v>#VALUE!</v>
      </c>
      <c r="DY638" s="1863"/>
      <c r="DZ638" s="1863"/>
      <c r="EA638" s="1863"/>
      <c r="EB638" s="1863"/>
      <c r="EC638" s="1863" t="e">
        <f t="shared" si="24"/>
        <v>#VALUE!</v>
      </c>
      <c r="ED638" s="1863"/>
      <c r="EE638" s="1863"/>
      <c r="EF638" s="1863"/>
      <c r="EG638" s="1863"/>
      <c r="EH638" s="1863" t="e">
        <f t="shared" si="25"/>
        <v>#VALUE!</v>
      </c>
      <c r="EI638" s="1863"/>
      <c r="EJ638" s="1863"/>
      <c r="EK638" s="1863"/>
      <c r="EL638" s="1863"/>
      <c r="EM638" s="1863">
        <f t="shared" si="26"/>
        <v>334.68888888888893</v>
      </c>
      <c r="EN638" s="1863"/>
      <c r="EO638" s="1863"/>
      <c r="EP638" s="1863"/>
      <c r="EQ638" s="1863"/>
      <c r="ER638" s="1863" t="e">
        <f t="shared" si="27"/>
        <v>#VALUE!</v>
      </c>
      <c r="ES638" s="1863"/>
      <c r="ET638" s="1863"/>
      <c r="EU638" s="1863"/>
      <c r="EV638" s="1863"/>
      <c r="EW638" s="1863" t="e">
        <f t="shared" si="28"/>
        <v>#VALUE!</v>
      </c>
      <c r="EX638" s="1863"/>
      <c r="EY638" s="1863"/>
      <c r="EZ638" s="1863"/>
      <c r="FA638" s="1863"/>
    </row>
    <row r="639" spans="1:157" ht="12.95" customHeight="1">
      <c r="A639" s="55" t="s">
        <v>113</v>
      </c>
      <c r="B639" t="s">
        <v>473</v>
      </c>
      <c r="G639" s="1517" t="str">
        <f>C623</f>
        <v>Permanent Loan</v>
      </c>
      <c r="H639" s="1517"/>
      <c r="I639" s="1517"/>
      <c r="J639" s="1517"/>
      <c r="K639" s="1517"/>
      <c r="L639" s="1517"/>
      <c r="M639" s="1517"/>
      <c r="N639" s="1517"/>
      <c r="O639" s="1517"/>
      <c r="P639" s="1517"/>
      <c r="Q639" s="1517"/>
      <c r="R639" s="1517"/>
      <c r="S639" s="8"/>
      <c r="T639" s="55" t="s">
        <v>114</v>
      </c>
      <c r="U639" t="s">
        <v>473</v>
      </c>
      <c r="Z639" s="1517" t="str">
        <f>C624</f>
        <v>City of Chico CDBG-DR</v>
      </c>
      <c r="AA639" s="1517"/>
      <c r="AB639" s="1517"/>
      <c r="AC639" s="1517"/>
      <c r="AD639" s="1517"/>
      <c r="AE639" s="1517"/>
      <c r="AF639" s="1517"/>
      <c r="AG639" s="1517"/>
      <c r="AH639" s="1517"/>
      <c r="AI639" s="1517"/>
      <c r="AJ639" s="1517"/>
      <c r="AK639" s="1517"/>
      <c r="AZ639" s="34"/>
      <c r="BA639" s="34"/>
      <c r="BB639" s="34"/>
      <c r="BC639" s="34"/>
      <c r="BD639" s="34"/>
      <c r="BE639" s="34"/>
      <c r="BF639" s="34"/>
      <c r="BG639" s="34"/>
      <c r="BH639" s="34"/>
      <c r="BI639" s="34"/>
      <c r="BJ639" s="34"/>
      <c r="BK639" s="34"/>
      <c r="BL639" s="34"/>
      <c r="BM639" s="34"/>
      <c r="BN639" s="1512">
        <f t="shared" si="30"/>
        <v>0</v>
      </c>
      <c r="BO639" s="1513"/>
      <c r="BP639" s="1513"/>
      <c r="BQ639" s="1513"/>
      <c r="BR639" s="1514"/>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12">
        <f t="shared" si="36"/>
        <v>0</v>
      </c>
      <c r="CT639" s="1513"/>
      <c r="CU639" s="1513"/>
      <c r="CV639" s="1513"/>
      <c r="CW639" s="1514"/>
      <c r="CX639" s="1512">
        <f t="shared" si="37"/>
        <v>0</v>
      </c>
      <c r="CY639" s="1513"/>
      <c r="CZ639" s="1513"/>
      <c r="DA639" s="1513"/>
      <c r="DB639" s="1514"/>
      <c r="DC639" s="1512">
        <f t="shared" si="38"/>
        <v>0</v>
      </c>
      <c r="DD639" s="1513"/>
      <c r="DE639" s="1513"/>
      <c r="DF639" s="1513"/>
      <c r="DG639" s="1514"/>
      <c r="DH639" s="1512">
        <f t="shared" si="39"/>
        <v>0</v>
      </c>
      <c r="DI639" s="1513"/>
      <c r="DJ639" s="1513"/>
      <c r="DK639" s="1513"/>
      <c r="DL639" s="1514"/>
      <c r="DM639" s="1512">
        <f t="shared" si="40"/>
        <v>0</v>
      </c>
      <c r="DN639" s="1513"/>
      <c r="DO639" s="1513"/>
      <c r="DP639" s="1513"/>
      <c r="DQ639" s="1514"/>
      <c r="DR639" s="1512">
        <f t="shared" si="41"/>
        <v>0</v>
      </c>
      <c r="DS639" s="1513"/>
      <c r="DT639" s="1513"/>
      <c r="DU639" s="1513"/>
      <c r="DV639" s="1514"/>
      <c r="DX639" s="1863" t="e">
        <f t="shared" si="23"/>
        <v>#VALUE!</v>
      </c>
      <c r="DY639" s="1863"/>
      <c r="DZ639" s="1863"/>
      <c r="EA639" s="1863"/>
      <c r="EB639" s="1863"/>
      <c r="EC639" s="1863" t="e">
        <f t="shared" si="24"/>
        <v>#VALUE!</v>
      </c>
      <c r="ED639" s="1863"/>
      <c r="EE639" s="1863"/>
      <c r="EF639" s="1863"/>
      <c r="EG639" s="1863"/>
      <c r="EH639" s="1863" t="e">
        <f t="shared" si="25"/>
        <v>#VALUE!</v>
      </c>
      <c r="EI639" s="1863"/>
      <c r="EJ639" s="1863"/>
      <c r="EK639" s="1863"/>
      <c r="EL639" s="1863"/>
      <c r="EM639" s="1863" t="e">
        <f t="shared" si="26"/>
        <v>#VALUE!</v>
      </c>
      <c r="EN639" s="1863"/>
      <c r="EO639" s="1863"/>
      <c r="EP639" s="1863"/>
      <c r="EQ639" s="1863"/>
      <c r="ER639" s="1863" t="e">
        <f t="shared" si="27"/>
        <v>#VALUE!</v>
      </c>
      <c r="ES639" s="1863"/>
      <c r="ET639" s="1863"/>
      <c r="EU639" s="1863"/>
      <c r="EV639" s="1863"/>
      <c r="EW639" s="1863" t="e">
        <f t="shared" si="28"/>
        <v>#VALUE!</v>
      </c>
      <c r="EX639" s="1863"/>
      <c r="EY639" s="1863"/>
      <c r="EZ639" s="1863"/>
      <c r="FA639" s="1863"/>
    </row>
    <row r="640" spans="1:157" ht="12.95" customHeight="1">
      <c r="A640" s="22"/>
      <c r="B640" t="s">
        <v>86</v>
      </c>
      <c r="G640" s="1394" t="s">
        <v>2711</v>
      </c>
      <c r="H640" s="1394"/>
      <c r="I640" s="1394"/>
      <c r="J640" s="1394"/>
      <c r="K640" s="1394"/>
      <c r="L640" s="1394"/>
      <c r="M640" s="1394"/>
      <c r="N640" s="1394"/>
      <c r="O640" s="1394"/>
      <c r="P640" s="1394"/>
      <c r="Q640" s="1394"/>
      <c r="R640" s="1394"/>
      <c r="S640" s="8"/>
      <c r="T640" s="22"/>
      <c r="U640" t="s">
        <v>86</v>
      </c>
      <c r="Z640" s="1394" t="s">
        <v>2737</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12">
        <f t="shared" si="30"/>
        <v>0</v>
      </c>
      <c r="BO640" s="1513"/>
      <c r="BP640" s="1513"/>
      <c r="BQ640" s="1513"/>
      <c r="BR640" s="1514"/>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12">
        <f t="shared" si="36"/>
        <v>0</v>
      </c>
      <c r="CT640" s="1513"/>
      <c r="CU640" s="1513"/>
      <c r="CV640" s="1513"/>
      <c r="CW640" s="1514"/>
      <c r="CX640" s="1512">
        <f t="shared" si="37"/>
        <v>0</v>
      </c>
      <c r="CY640" s="1513"/>
      <c r="CZ640" s="1513"/>
      <c r="DA640" s="1513"/>
      <c r="DB640" s="1514"/>
      <c r="DC640" s="1512">
        <f t="shared" si="38"/>
        <v>0</v>
      </c>
      <c r="DD640" s="1513"/>
      <c r="DE640" s="1513"/>
      <c r="DF640" s="1513"/>
      <c r="DG640" s="1514"/>
      <c r="DH640" s="1512">
        <f t="shared" si="39"/>
        <v>0</v>
      </c>
      <c r="DI640" s="1513"/>
      <c r="DJ640" s="1513"/>
      <c r="DK640" s="1513"/>
      <c r="DL640" s="1514"/>
      <c r="DM640" s="1512">
        <f t="shared" si="40"/>
        <v>0</v>
      </c>
      <c r="DN640" s="1513"/>
      <c r="DO640" s="1513"/>
      <c r="DP640" s="1513"/>
      <c r="DQ640" s="1514"/>
      <c r="DR640" s="1512">
        <f t="shared" si="41"/>
        <v>0</v>
      </c>
      <c r="DS640" s="1513"/>
      <c r="DT640" s="1513"/>
      <c r="DU640" s="1513"/>
      <c r="DV640" s="1514"/>
      <c r="DX640" s="1863" t="e">
        <f t="shared" si="23"/>
        <v>#VALUE!</v>
      </c>
      <c r="DY640" s="1863"/>
      <c r="DZ640" s="1863"/>
      <c r="EA640" s="1863"/>
      <c r="EB640" s="1863"/>
      <c r="EC640" s="1863" t="e">
        <f t="shared" si="24"/>
        <v>#VALUE!</v>
      </c>
      <c r="ED640" s="1863"/>
      <c r="EE640" s="1863"/>
      <c r="EF640" s="1863"/>
      <c r="EG640" s="1863"/>
      <c r="EH640" s="1863" t="e">
        <f t="shared" si="25"/>
        <v>#VALUE!</v>
      </c>
      <c r="EI640" s="1863"/>
      <c r="EJ640" s="1863"/>
      <c r="EK640" s="1863"/>
      <c r="EL640" s="1863"/>
      <c r="EM640" s="1863" t="e">
        <f t="shared" si="26"/>
        <v>#VALUE!</v>
      </c>
      <c r="EN640" s="1863"/>
      <c r="EO640" s="1863"/>
      <c r="EP640" s="1863"/>
      <c r="EQ640" s="1863"/>
      <c r="ER640" s="1863" t="e">
        <f t="shared" si="27"/>
        <v>#VALUE!</v>
      </c>
      <c r="ES640" s="1863"/>
      <c r="ET640" s="1863"/>
      <c r="EU640" s="1863"/>
      <c r="EV640" s="1863"/>
      <c r="EW640" s="1863" t="e">
        <f t="shared" si="28"/>
        <v>#VALUE!</v>
      </c>
      <c r="EX640" s="1863"/>
      <c r="EY640" s="1863"/>
      <c r="EZ640" s="1863"/>
      <c r="FA640" s="1863"/>
    </row>
    <row r="641" spans="1:157" ht="12.95" customHeight="1">
      <c r="A641" s="22"/>
      <c r="B641" t="s">
        <v>590</v>
      </c>
      <c r="G641" s="1394" t="s">
        <v>2712</v>
      </c>
      <c r="H641" s="1394"/>
      <c r="I641" s="1394"/>
      <c r="J641" s="1394"/>
      <c r="K641" s="1394"/>
      <c r="L641" s="1394"/>
      <c r="M641" s="1394"/>
      <c r="N641" s="1394"/>
      <c r="O641" s="1394"/>
      <c r="P641" s="1394"/>
      <c r="Q641" s="1394"/>
      <c r="R641" s="1394"/>
      <c r="T641" s="22"/>
      <c r="U641" t="s">
        <v>590</v>
      </c>
      <c r="Z641" s="1366" t="s">
        <v>2670</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2">
        <f t="shared" si="30"/>
        <v>0</v>
      </c>
      <c r="BO641" s="1513"/>
      <c r="BP641" s="1513"/>
      <c r="BQ641" s="1513"/>
      <c r="BR641" s="1514"/>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12">
        <f t="shared" si="36"/>
        <v>0</v>
      </c>
      <c r="CT641" s="1513"/>
      <c r="CU641" s="1513"/>
      <c r="CV641" s="1513"/>
      <c r="CW641" s="1514"/>
      <c r="CX641" s="1512">
        <f t="shared" si="37"/>
        <v>0</v>
      </c>
      <c r="CY641" s="1513"/>
      <c r="CZ641" s="1513"/>
      <c r="DA641" s="1513"/>
      <c r="DB641" s="1514"/>
      <c r="DC641" s="1512">
        <f t="shared" si="38"/>
        <v>0</v>
      </c>
      <c r="DD641" s="1513"/>
      <c r="DE641" s="1513"/>
      <c r="DF641" s="1513"/>
      <c r="DG641" s="1514"/>
      <c r="DH641" s="1512">
        <f t="shared" si="39"/>
        <v>0</v>
      </c>
      <c r="DI641" s="1513"/>
      <c r="DJ641" s="1513"/>
      <c r="DK641" s="1513"/>
      <c r="DL641" s="1514"/>
      <c r="DM641" s="1512">
        <f t="shared" si="40"/>
        <v>0</v>
      </c>
      <c r="DN641" s="1513"/>
      <c r="DO641" s="1513"/>
      <c r="DP641" s="1513"/>
      <c r="DQ641" s="1514"/>
      <c r="DR641" s="1512">
        <f t="shared" si="41"/>
        <v>0</v>
      </c>
      <c r="DS641" s="1513"/>
      <c r="DT641" s="1513"/>
      <c r="DU641" s="1513"/>
      <c r="DV641" s="1514"/>
      <c r="DX641" s="1863" t="e">
        <f t="shared" si="23"/>
        <v>#VALUE!</v>
      </c>
      <c r="DY641" s="1863"/>
      <c r="DZ641" s="1863"/>
      <c r="EA641" s="1863"/>
      <c r="EB641" s="1863"/>
      <c r="EC641" s="1863" t="e">
        <f t="shared" si="24"/>
        <v>#VALUE!</v>
      </c>
      <c r="ED641" s="1863"/>
      <c r="EE641" s="1863"/>
      <c r="EF641" s="1863"/>
      <c r="EG641" s="1863"/>
      <c r="EH641" s="1863" t="e">
        <f t="shared" si="25"/>
        <v>#VALUE!</v>
      </c>
      <c r="EI641" s="1863"/>
      <c r="EJ641" s="1863"/>
      <c r="EK641" s="1863"/>
      <c r="EL641" s="1863"/>
      <c r="EM641" s="1863" t="e">
        <f t="shared" si="26"/>
        <v>#VALUE!</v>
      </c>
      <c r="EN641" s="1863"/>
      <c r="EO641" s="1863"/>
      <c r="EP641" s="1863"/>
      <c r="EQ641" s="1863"/>
      <c r="ER641" s="1863" t="e">
        <f t="shared" si="27"/>
        <v>#VALUE!</v>
      </c>
      <c r="ES641" s="1863"/>
      <c r="ET641" s="1863"/>
      <c r="EU641" s="1863"/>
      <c r="EV641" s="1863"/>
      <c r="EW641" s="1863" t="e">
        <f t="shared" si="28"/>
        <v>#VALUE!</v>
      </c>
      <c r="EX641" s="1863"/>
      <c r="EY641" s="1863"/>
      <c r="EZ641" s="1863"/>
      <c r="FA641" s="1863"/>
    </row>
    <row r="642" spans="1:157" ht="12.95" customHeight="1">
      <c r="A642" s="22"/>
      <c r="B642" t="s">
        <v>17</v>
      </c>
      <c r="G642" s="1394" t="s">
        <v>2713</v>
      </c>
      <c r="H642" s="1394"/>
      <c r="I642" s="1394"/>
      <c r="J642" s="1394"/>
      <c r="K642" s="1394"/>
      <c r="L642" s="1394"/>
      <c r="M642" s="1394"/>
      <c r="N642" s="1394"/>
      <c r="O642" s="1394"/>
      <c r="P642" s="1394"/>
      <c r="Q642" s="1394"/>
      <c r="R642" s="1394"/>
      <c r="S642" s="8"/>
      <c r="T642" s="22"/>
      <c r="U642" t="s">
        <v>17</v>
      </c>
      <c r="Z642" s="1366" t="s">
        <v>2738</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2">
        <f t="shared" si="30"/>
        <v>0</v>
      </c>
      <c r="BO642" s="1513"/>
      <c r="BP642" s="1513"/>
      <c r="BQ642" s="1513"/>
      <c r="BR642" s="1514"/>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12">
        <f t="shared" si="36"/>
        <v>0</v>
      </c>
      <c r="CT642" s="1513"/>
      <c r="CU642" s="1513"/>
      <c r="CV642" s="1513"/>
      <c r="CW642" s="1514"/>
      <c r="CX642" s="1512">
        <f t="shared" si="37"/>
        <v>0</v>
      </c>
      <c r="CY642" s="1513"/>
      <c r="CZ642" s="1513"/>
      <c r="DA642" s="1513"/>
      <c r="DB642" s="1514"/>
      <c r="DC642" s="1512">
        <f t="shared" si="38"/>
        <v>0</v>
      </c>
      <c r="DD642" s="1513"/>
      <c r="DE642" s="1513"/>
      <c r="DF642" s="1513"/>
      <c r="DG642" s="1514"/>
      <c r="DH642" s="1512">
        <f t="shared" si="39"/>
        <v>0</v>
      </c>
      <c r="DI642" s="1513"/>
      <c r="DJ642" s="1513"/>
      <c r="DK642" s="1513"/>
      <c r="DL642" s="1514"/>
      <c r="DM642" s="1512">
        <f t="shared" si="40"/>
        <v>0</v>
      </c>
      <c r="DN642" s="1513"/>
      <c r="DO642" s="1513"/>
      <c r="DP642" s="1513"/>
      <c r="DQ642" s="1514"/>
      <c r="DR642" s="1512">
        <f t="shared" si="41"/>
        <v>0</v>
      </c>
      <c r="DS642" s="1513"/>
      <c r="DT642" s="1513"/>
      <c r="DU642" s="1513"/>
      <c r="DV642" s="1514"/>
      <c r="DX642" s="1863" t="e">
        <f t="shared" si="23"/>
        <v>#VALUE!</v>
      </c>
      <c r="DY642" s="1863"/>
      <c r="DZ642" s="1863"/>
      <c r="EA642" s="1863"/>
      <c r="EB642" s="1863"/>
      <c r="EC642" s="1863" t="e">
        <f t="shared" si="24"/>
        <v>#VALUE!</v>
      </c>
      <c r="ED642" s="1863"/>
      <c r="EE642" s="1863"/>
      <c r="EF642" s="1863"/>
      <c r="EG642" s="1863"/>
      <c r="EH642" s="1863" t="e">
        <f t="shared" si="25"/>
        <v>#VALUE!</v>
      </c>
      <c r="EI642" s="1863"/>
      <c r="EJ642" s="1863"/>
      <c r="EK642" s="1863"/>
      <c r="EL642" s="1863"/>
      <c r="EM642" s="1863" t="e">
        <f t="shared" si="26"/>
        <v>#VALUE!</v>
      </c>
      <c r="EN642" s="1863"/>
      <c r="EO642" s="1863"/>
      <c r="EP642" s="1863"/>
      <c r="EQ642" s="1863"/>
      <c r="ER642" s="1863" t="e">
        <f t="shared" si="27"/>
        <v>#VALUE!</v>
      </c>
      <c r="ES642" s="1863"/>
      <c r="ET642" s="1863"/>
      <c r="EU642" s="1863"/>
      <c r="EV642" s="1863"/>
      <c r="EW642" s="1863" t="e">
        <f t="shared" si="28"/>
        <v>#VALUE!</v>
      </c>
      <c r="EX642" s="1863"/>
      <c r="EY642" s="1863"/>
      <c r="EZ642" s="1863"/>
      <c r="FA642" s="1863"/>
    </row>
    <row r="643" spans="1:157" ht="12.95" customHeight="1">
      <c r="A643" s="22"/>
      <c r="B643" t="s">
        <v>318</v>
      </c>
      <c r="G643" s="1436">
        <v>6468440935</v>
      </c>
      <c r="H643" s="1436"/>
      <c r="I643" s="1436"/>
      <c r="J643" s="1436"/>
      <c r="K643" s="1436"/>
      <c r="L643" s="1436"/>
      <c r="O643" s="33" t="s">
        <v>208</v>
      </c>
      <c r="P643" s="1465"/>
      <c r="Q643" s="1465"/>
      <c r="R643" s="1465"/>
      <c r="S643" s="10"/>
      <c r="T643" s="22"/>
      <c r="U643" t="s">
        <v>318</v>
      </c>
      <c r="Z643" s="1436">
        <v>5308796300</v>
      </c>
      <c r="AA643" s="1436"/>
      <c r="AB643" s="1436"/>
      <c r="AC643" s="1436"/>
      <c r="AD643" s="1436"/>
      <c r="AE643" s="1436"/>
      <c r="AH643" s="33" t="s">
        <v>208</v>
      </c>
      <c r="AI643" s="1465"/>
      <c r="AJ643" s="1465"/>
      <c r="AK643" s="1465"/>
      <c r="AZ643" s="34"/>
      <c r="BA643" s="34"/>
      <c r="BB643" s="34"/>
      <c r="BC643" s="34"/>
      <c r="BD643" s="34"/>
      <c r="BE643" s="34"/>
      <c r="BF643" s="34"/>
      <c r="BG643" s="34"/>
      <c r="BH643" s="34"/>
      <c r="BI643" s="34"/>
      <c r="BJ643" s="34"/>
      <c r="BK643" s="34"/>
      <c r="BL643" s="34"/>
      <c r="BM643" s="34"/>
      <c r="BN643" s="1512">
        <f t="shared" si="30"/>
        <v>0</v>
      </c>
      <c r="BO643" s="1513"/>
      <c r="BP643" s="1513"/>
      <c r="BQ643" s="1513"/>
      <c r="BR643" s="1514"/>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12">
        <f t="shared" si="36"/>
        <v>0</v>
      </c>
      <c r="CT643" s="1513"/>
      <c r="CU643" s="1513"/>
      <c r="CV643" s="1513"/>
      <c r="CW643" s="1514"/>
      <c r="CX643" s="1512">
        <f t="shared" si="37"/>
        <v>0</v>
      </c>
      <c r="CY643" s="1513"/>
      <c r="CZ643" s="1513"/>
      <c r="DA643" s="1513"/>
      <c r="DB643" s="1514"/>
      <c r="DC643" s="1512">
        <f t="shared" si="38"/>
        <v>0</v>
      </c>
      <c r="DD643" s="1513"/>
      <c r="DE643" s="1513"/>
      <c r="DF643" s="1513"/>
      <c r="DG643" s="1514"/>
      <c r="DH643" s="1512">
        <f t="shared" si="39"/>
        <v>0</v>
      </c>
      <c r="DI643" s="1513"/>
      <c r="DJ643" s="1513"/>
      <c r="DK643" s="1513"/>
      <c r="DL643" s="1514"/>
      <c r="DM643" s="1512">
        <f t="shared" si="40"/>
        <v>0</v>
      </c>
      <c r="DN643" s="1513"/>
      <c r="DO643" s="1513"/>
      <c r="DP643" s="1513"/>
      <c r="DQ643" s="1514"/>
      <c r="DR643" s="1512">
        <f t="shared" si="41"/>
        <v>0</v>
      </c>
      <c r="DS643" s="1513"/>
      <c r="DT643" s="1513"/>
      <c r="DU643" s="1513"/>
      <c r="DV643" s="1514"/>
      <c r="DX643" s="1863" t="e">
        <f t="shared" si="23"/>
        <v>#VALUE!</v>
      </c>
      <c r="DY643" s="1863"/>
      <c r="DZ643" s="1863"/>
      <c r="EA643" s="1863"/>
      <c r="EB643" s="1863"/>
      <c r="EC643" s="1863" t="e">
        <f t="shared" si="24"/>
        <v>#VALUE!</v>
      </c>
      <c r="ED643" s="1863"/>
      <c r="EE643" s="1863"/>
      <c r="EF643" s="1863"/>
      <c r="EG643" s="1863"/>
      <c r="EH643" s="1863" t="e">
        <f t="shared" si="25"/>
        <v>#VALUE!</v>
      </c>
      <c r="EI643" s="1863"/>
      <c r="EJ643" s="1863"/>
      <c r="EK643" s="1863"/>
      <c r="EL643" s="1863"/>
      <c r="EM643" s="1863" t="e">
        <f t="shared" si="26"/>
        <v>#VALUE!</v>
      </c>
      <c r="EN643" s="1863"/>
      <c r="EO643" s="1863"/>
      <c r="EP643" s="1863"/>
      <c r="EQ643" s="1863"/>
      <c r="ER643" s="1863" t="e">
        <f t="shared" si="27"/>
        <v>#VALUE!</v>
      </c>
      <c r="ES643" s="1863"/>
      <c r="ET643" s="1863"/>
      <c r="EU643" s="1863"/>
      <c r="EV643" s="1863"/>
      <c r="EW643" s="1863" t="e">
        <f t="shared" si="28"/>
        <v>#VALUE!</v>
      </c>
      <c r="EX643" s="1863"/>
      <c r="EY643" s="1863"/>
      <c r="EZ643" s="1863"/>
      <c r="FA643" s="1863"/>
    </row>
    <row r="644" spans="1:157" ht="12.95" customHeight="1">
      <c r="A644" s="22"/>
      <c r="B644" t="s">
        <v>18</v>
      </c>
      <c r="H644" s="1394" t="s">
        <v>2714</v>
      </c>
      <c r="I644" s="1394"/>
      <c r="J644" s="1394"/>
      <c r="K644" s="1394"/>
      <c r="L644" s="1394"/>
      <c r="M644" s="1394"/>
      <c r="N644" s="1394"/>
      <c r="O644" s="1394"/>
      <c r="P644" s="1394"/>
      <c r="Q644" s="1394"/>
      <c r="R644" s="1394"/>
      <c r="S644" s="8"/>
      <c r="T644" s="22"/>
      <c r="U644" t="s">
        <v>18</v>
      </c>
      <c r="AA644" s="1394" t="s">
        <v>2739</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501">
        <f>SUM(BN634:BR643)</f>
        <v>0</v>
      </c>
      <c r="BO644" s="1515"/>
      <c r="BP644" s="1515"/>
      <c r="BQ644" s="1515"/>
      <c r="BR644" s="1502"/>
      <c r="BS644" s="1715">
        <f>SUM(BS634:BW643)</f>
        <v>0</v>
      </c>
      <c r="BT644" s="1716"/>
      <c r="BU644" s="1716"/>
      <c r="BV644" s="1716"/>
      <c r="BW644" s="1717"/>
      <c r="BX644" s="1715">
        <f>SUM(BX634:CB643)</f>
        <v>0</v>
      </c>
      <c r="BY644" s="1716"/>
      <c r="BZ644" s="1716"/>
      <c r="CA644" s="1716"/>
      <c r="CB644" s="1717"/>
      <c r="CC644" s="1715">
        <f>SUM(CC634:CG643)</f>
        <v>0</v>
      </c>
      <c r="CD644" s="1716"/>
      <c r="CE644" s="1716"/>
      <c r="CF644" s="1716"/>
      <c r="CG644" s="1717"/>
      <c r="CH644" s="1715">
        <f>SUM(CH634:CL643)</f>
        <v>0</v>
      </c>
      <c r="CI644" s="1716"/>
      <c r="CJ644" s="1716"/>
      <c r="CK644" s="1716"/>
      <c r="CL644" s="1717"/>
      <c r="CM644" s="1715">
        <f>SUM(CM634:CQ643)</f>
        <v>0</v>
      </c>
      <c r="CN644" s="1716"/>
      <c r="CO644" s="1716"/>
      <c r="CP644" s="1716"/>
      <c r="CQ644" s="1717"/>
      <c r="CR644" s="1049"/>
      <c r="CS644" s="1713">
        <f>SUM(CS634:CW643)</f>
        <v>0</v>
      </c>
      <c r="CT644" s="1713"/>
      <c r="CU644" s="1713"/>
      <c r="CV644" s="1713"/>
      <c r="CW644" s="1713"/>
      <c r="CX644" s="1713">
        <f>SUM(CX634:DB643)</f>
        <v>0</v>
      </c>
      <c r="CY644" s="1713"/>
      <c r="CZ644" s="1713"/>
      <c r="DA644" s="1713"/>
      <c r="DB644" s="1713"/>
      <c r="DC644" s="1713">
        <f>SUM(DC634:DG643)</f>
        <v>0</v>
      </c>
      <c r="DD644" s="1713"/>
      <c r="DE644" s="1713"/>
      <c r="DF644" s="1713"/>
      <c r="DG644" s="1713"/>
      <c r="DH644" s="1713">
        <f>SUM(DH634:DL643)</f>
        <v>0</v>
      </c>
      <c r="DI644" s="1713"/>
      <c r="DJ644" s="1713"/>
      <c r="DK644" s="1713"/>
      <c r="DL644" s="1713"/>
      <c r="DM644" s="1713">
        <f>SUM(DM634:DQ643)</f>
        <v>0</v>
      </c>
      <c r="DN644" s="1713"/>
      <c r="DO644" s="1713"/>
      <c r="DP644" s="1713"/>
      <c r="DQ644" s="1713"/>
      <c r="DR644" s="1713">
        <f>SUM(DR634:DV643)</f>
        <v>0</v>
      </c>
      <c r="DS644" s="1713"/>
      <c r="DT644" s="1713"/>
      <c r="DU644" s="1713"/>
      <c r="DV644" s="1713"/>
      <c r="DX644" s="1863" t="e">
        <f t="shared" si="23"/>
        <v>#VALUE!</v>
      </c>
      <c r="DY644" s="1863"/>
      <c r="DZ644" s="1863"/>
      <c r="EA644" s="1863"/>
      <c r="EB644" s="1863"/>
      <c r="EC644" s="1863" t="e">
        <f t="shared" si="24"/>
        <v>#VALUE!</v>
      </c>
      <c r="ED644" s="1863"/>
      <c r="EE644" s="1863"/>
      <c r="EF644" s="1863"/>
      <c r="EG644" s="1863"/>
      <c r="EH644" s="1863" t="e">
        <f t="shared" si="25"/>
        <v>#VALUE!</v>
      </c>
      <c r="EI644" s="1863"/>
      <c r="EJ644" s="1863"/>
      <c r="EK644" s="1863"/>
      <c r="EL644" s="1863"/>
      <c r="EM644" s="1863" t="e">
        <f t="shared" si="26"/>
        <v>#VALUE!</v>
      </c>
      <c r="EN644" s="1863"/>
      <c r="EO644" s="1863"/>
      <c r="EP644" s="1863"/>
      <c r="EQ644" s="1863"/>
      <c r="ER644" s="1863" t="e">
        <f t="shared" si="27"/>
        <v>#VALUE!</v>
      </c>
      <c r="ES644" s="1863"/>
      <c r="ET644" s="1863"/>
      <c r="EU644" s="1863"/>
      <c r="EV644" s="1863"/>
      <c r="EW644" s="1863" t="e">
        <f t="shared" si="28"/>
        <v>#VALUE!</v>
      </c>
      <c r="EX644" s="1863"/>
      <c r="EY644" s="1863"/>
      <c r="EZ644" s="1863"/>
      <c r="FA644" s="1863"/>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3" t="e">
        <f t="shared" si="23"/>
        <v>#VALUE!</v>
      </c>
      <c r="DY645" s="1863"/>
      <c r="DZ645" s="1863"/>
      <c r="EA645" s="1863"/>
      <c r="EB645" s="1863"/>
      <c r="EC645" s="1863" t="e">
        <f t="shared" si="24"/>
        <v>#VALUE!</v>
      </c>
      <c r="ED645" s="1863"/>
      <c r="EE645" s="1863"/>
      <c r="EF645" s="1863"/>
      <c r="EG645" s="1863"/>
      <c r="EH645" s="1863" t="e">
        <f t="shared" si="25"/>
        <v>#VALUE!</v>
      </c>
      <c r="EI645" s="1863"/>
      <c r="EJ645" s="1863"/>
      <c r="EK645" s="1863"/>
      <c r="EL645" s="1863"/>
      <c r="EM645" s="1863" t="e">
        <f t="shared" si="26"/>
        <v>#VALUE!</v>
      </c>
      <c r="EN645" s="1863"/>
      <c r="EO645" s="1863"/>
      <c r="EP645" s="1863"/>
      <c r="EQ645" s="1863"/>
      <c r="ER645" s="1863" t="e">
        <f t="shared" si="27"/>
        <v>#VALUE!</v>
      </c>
      <c r="ES645" s="1863"/>
      <c r="ET645" s="1863"/>
      <c r="EU645" s="1863"/>
      <c r="EV645" s="1863"/>
      <c r="EW645" s="1863" t="e">
        <f t="shared" si="28"/>
        <v>#VALUE!</v>
      </c>
      <c r="EX645" s="1863"/>
      <c r="EY645" s="1863"/>
      <c r="EZ645" s="1863"/>
      <c r="FA645" s="1863"/>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63">
        <f>SUM(CS644:DV644)</f>
        <v>0</v>
      </c>
      <c r="DS646" s="1863"/>
      <c r="DT646" s="1863"/>
      <c r="DU646" s="1863"/>
      <c r="DV646" s="1863"/>
      <c r="DX646" s="1863" t="e">
        <f t="shared" si="23"/>
        <v>#VALUE!</v>
      </c>
      <c r="DY646" s="1863"/>
      <c r="DZ646" s="1863"/>
      <c r="EA646" s="1863"/>
      <c r="EB646" s="1863"/>
      <c r="EC646" s="1863" t="e">
        <f t="shared" si="24"/>
        <v>#VALUE!</v>
      </c>
      <c r="ED646" s="1863"/>
      <c r="EE646" s="1863"/>
      <c r="EF646" s="1863"/>
      <c r="EG646" s="1863"/>
      <c r="EH646" s="1863" t="e">
        <f t="shared" si="25"/>
        <v>#VALUE!</v>
      </c>
      <c r="EI646" s="1863"/>
      <c r="EJ646" s="1863"/>
      <c r="EK646" s="1863"/>
      <c r="EL646" s="1863"/>
      <c r="EM646" s="1863" t="e">
        <f t="shared" si="26"/>
        <v>#VALUE!</v>
      </c>
      <c r="EN646" s="1863"/>
      <c r="EO646" s="1863"/>
      <c r="EP646" s="1863"/>
      <c r="EQ646" s="1863"/>
      <c r="ER646" s="1863" t="e">
        <f t="shared" si="27"/>
        <v>#VALUE!</v>
      </c>
      <c r="ES646" s="1863"/>
      <c r="ET646" s="1863"/>
      <c r="EU646" s="1863"/>
      <c r="EV646" s="1863"/>
      <c r="EW646" s="1863" t="e">
        <f t="shared" si="28"/>
        <v>#VALUE!</v>
      </c>
      <c r="EX646" s="1863"/>
      <c r="EY646" s="1863"/>
      <c r="EZ646" s="1863"/>
      <c r="FA646" s="1863"/>
    </row>
    <row r="647" spans="1:157" ht="12.95" customHeight="1">
      <c r="A647" s="55" t="s">
        <v>120</v>
      </c>
      <c r="B647" t="s">
        <v>473</v>
      </c>
      <c r="G647" s="1517" t="str">
        <f>C625</f>
        <v>Solar Tax Credits</v>
      </c>
      <c r="H647" s="1517"/>
      <c r="I647" s="1517"/>
      <c r="J647" s="1517"/>
      <c r="K647" s="1517"/>
      <c r="L647" s="1517"/>
      <c r="M647" s="1517"/>
      <c r="N647" s="1517"/>
      <c r="O647" s="1517"/>
      <c r="P647" s="1517"/>
      <c r="Q647" s="1517"/>
      <c r="R647" s="1517"/>
      <c r="T647" s="55" t="s">
        <v>591</v>
      </c>
      <c r="U647" t="s">
        <v>473</v>
      </c>
      <c r="Z647" s="1517" t="str">
        <f>C626</f>
        <v>Deferred Developer Fee</v>
      </c>
      <c r="AA647" s="1517"/>
      <c r="AB647" s="1517"/>
      <c r="AC647" s="1517"/>
      <c r="AD647" s="1517"/>
      <c r="AE647" s="1517"/>
      <c r="AF647" s="1517"/>
      <c r="AG647" s="1517"/>
      <c r="AH647" s="1517"/>
      <c r="AI647" s="1517"/>
      <c r="AJ647" s="1517"/>
      <c r="AK647" s="1517"/>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63" t="e">
        <f t="shared" si="23"/>
        <v>#VALUE!</v>
      </c>
      <c r="DY647" s="1863"/>
      <c r="DZ647" s="1863"/>
      <c r="EA647" s="1863"/>
      <c r="EB647" s="1863"/>
      <c r="EC647" s="1863" t="e">
        <f t="shared" si="24"/>
        <v>#VALUE!</v>
      </c>
      <c r="ED647" s="1863"/>
      <c r="EE647" s="1863"/>
      <c r="EF647" s="1863"/>
      <c r="EG647" s="1863"/>
      <c r="EH647" s="1863" t="e">
        <f t="shared" si="25"/>
        <v>#VALUE!</v>
      </c>
      <c r="EI647" s="1863"/>
      <c r="EJ647" s="1863"/>
      <c r="EK647" s="1863"/>
      <c r="EL647" s="1863"/>
      <c r="EM647" s="1863" t="e">
        <f t="shared" si="26"/>
        <v>#VALUE!</v>
      </c>
      <c r="EN647" s="1863"/>
      <c r="EO647" s="1863"/>
      <c r="EP647" s="1863"/>
      <c r="EQ647" s="1863"/>
      <c r="ER647" s="1863" t="e">
        <f t="shared" si="27"/>
        <v>#VALUE!</v>
      </c>
      <c r="ES647" s="1863"/>
      <c r="ET647" s="1863"/>
      <c r="EU647" s="1863"/>
      <c r="EV647" s="1863"/>
      <c r="EW647" s="1863" t="e">
        <f t="shared" si="28"/>
        <v>#VALUE!</v>
      </c>
      <c r="EX647" s="1863"/>
      <c r="EY647" s="1863"/>
      <c r="EZ647" s="1863"/>
      <c r="FA647" s="1863"/>
    </row>
    <row r="648" spans="1:157" ht="12.95" customHeight="1">
      <c r="A648" s="22"/>
      <c r="B648" t="s">
        <v>86</v>
      </c>
      <c r="G648" s="1394" t="s">
        <v>2716</v>
      </c>
      <c r="H648" s="1394"/>
      <c r="I648" s="1394"/>
      <c r="J648" s="1394"/>
      <c r="K648" s="1394"/>
      <c r="L648" s="1394"/>
      <c r="M648" s="1394"/>
      <c r="N648" s="1394"/>
      <c r="O648" s="1394"/>
      <c r="P648" s="1394"/>
      <c r="Q648" s="1394"/>
      <c r="R648" s="1394"/>
      <c r="T648" s="22"/>
      <c r="U648" t="s">
        <v>86</v>
      </c>
      <c r="Z648" s="1394" t="s">
        <v>2637</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3" t="e">
        <f t="shared" si="23"/>
        <v>#VALUE!</v>
      </c>
      <c r="DY648" s="1863"/>
      <c r="DZ648" s="1863"/>
      <c r="EA648" s="1863"/>
      <c r="EB648" s="1863"/>
      <c r="EC648" s="1863" t="e">
        <f t="shared" si="24"/>
        <v>#VALUE!</v>
      </c>
      <c r="ED648" s="1863"/>
      <c r="EE648" s="1863"/>
      <c r="EF648" s="1863"/>
      <c r="EG648" s="1863"/>
      <c r="EH648" s="1863" t="e">
        <f t="shared" si="25"/>
        <v>#VALUE!</v>
      </c>
      <c r="EI648" s="1863"/>
      <c r="EJ648" s="1863"/>
      <c r="EK648" s="1863"/>
      <c r="EL648" s="1863"/>
      <c r="EM648" s="1863" t="e">
        <f t="shared" si="26"/>
        <v>#VALUE!</v>
      </c>
      <c r="EN648" s="1863"/>
      <c r="EO648" s="1863"/>
      <c r="EP648" s="1863"/>
      <c r="EQ648" s="1863"/>
      <c r="ER648" s="1863" t="e">
        <f t="shared" si="27"/>
        <v>#VALUE!</v>
      </c>
      <c r="ES648" s="1863"/>
      <c r="ET648" s="1863"/>
      <c r="EU648" s="1863"/>
      <c r="EV648" s="1863"/>
      <c r="EW648" s="1863" t="e">
        <f t="shared" si="28"/>
        <v>#VALUE!</v>
      </c>
      <c r="EX648" s="1863"/>
      <c r="EY648" s="1863"/>
      <c r="EZ648" s="1863"/>
      <c r="FA648" s="1863"/>
    </row>
    <row r="649" spans="1:157" ht="12.95" customHeight="1">
      <c r="A649" s="22"/>
      <c r="B649" t="s">
        <v>590</v>
      </c>
      <c r="G649" s="1366" t="s">
        <v>2717</v>
      </c>
      <c r="H649" s="1366"/>
      <c r="I649" s="1366"/>
      <c r="J649" s="1366"/>
      <c r="K649" s="1366"/>
      <c r="L649" s="1366"/>
      <c r="M649" s="1366"/>
      <c r="N649" s="1366"/>
      <c r="O649" s="1366"/>
      <c r="P649" s="1366"/>
      <c r="Q649" s="1366"/>
      <c r="R649" s="1366"/>
      <c r="T649" s="22"/>
      <c r="U649" t="s">
        <v>590</v>
      </c>
      <c r="Z649" s="1366" t="s">
        <v>2662</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15">
        <f>BN621+BN630+BN644</f>
        <v>0</v>
      </c>
      <c r="BO649" s="1716"/>
      <c r="BP649" s="1716"/>
      <c r="BQ649" s="1716"/>
      <c r="BR649" s="1717"/>
      <c r="BS649" s="1715">
        <f>BS621+BS630+BS644</f>
        <v>18</v>
      </c>
      <c r="BT649" s="1716"/>
      <c r="BU649" s="1716"/>
      <c r="BV649" s="1716"/>
      <c r="BW649" s="1717"/>
      <c r="BX649" s="1715">
        <f>BX621+BX630+BX644</f>
        <v>34</v>
      </c>
      <c r="BY649" s="1716"/>
      <c r="BZ649" s="1716"/>
      <c r="CA649" s="1716"/>
      <c r="CB649" s="1717"/>
      <c r="CC649" s="1715">
        <f>CC621+CC630+CC644</f>
        <v>18</v>
      </c>
      <c r="CD649" s="1716"/>
      <c r="CE649" s="1716"/>
      <c r="CF649" s="1716"/>
      <c r="CG649" s="1717"/>
      <c r="CH649" s="1715">
        <f>CH621+CH630+CH644</f>
        <v>0</v>
      </c>
      <c r="CI649" s="1716"/>
      <c r="CJ649" s="1716"/>
      <c r="CK649" s="1716"/>
      <c r="CL649" s="1717"/>
      <c r="CM649" s="1419">
        <f>CM644+CM630+CM621</f>
        <v>0</v>
      </c>
      <c r="CN649" s="1859"/>
      <c r="CO649" s="1859"/>
      <c r="CP649" s="1859"/>
      <c r="CQ649" s="1420"/>
      <c r="CR649" s="3"/>
      <c r="CS649" s="897">
        <f>CS623+CS647</f>
        <v>138</v>
      </c>
      <c r="CT649" s="57" t="s">
        <v>2127</v>
      </c>
      <c r="CU649" s="3"/>
      <c r="CV649" s="3"/>
      <c r="CW649" s="3"/>
      <c r="CX649" s="3"/>
      <c r="CY649" s="3"/>
      <c r="CZ649" s="3"/>
      <c r="DA649" s="3"/>
      <c r="DB649" s="3"/>
      <c r="DC649" s="3"/>
      <c r="DD649" s="3"/>
      <c r="DE649" s="3"/>
      <c r="DF649" s="3"/>
      <c r="DX649" s="1863">
        <f>SUMIF(DX624:EB648,"&gt;0")</f>
        <v>0</v>
      </c>
      <c r="DY649" s="1863"/>
      <c r="DZ649" s="1863"/>
      <c r="EA649" s="1863"/>
      <c r="EB649" s="1863"/>
      <c r="EC649" s="1863">
        <f>SUMIF(EC624:EG648,"&gt;0")</f>
        <v>612.59333333333325</v>
      </c>
      <c r="ED649" s="1863"/>
      <c r="EE649" s="1863"/>
      <c r="EF649" s="1863"/>
      <c r="EG649" s="1863"/>
      <c r="EH649" s="1863">
        <f>SUMIF(EH624:EL648,"&gt;0")</f>
        <v>758.01090909090908</v>
      </c>
      <c r="EI649" s="1863"/>
      <c r="EJ649" s="1863"/>
      <c r="EK649" s="1863"/>
      <c r="EL649" s="1863"/>
      <c r="EM649" s="1863">
        <f>SUMIF(EM624:EQ648,"&gt;0")</f>
        <v>850.20444444444456</v>
      </c>
      <c r="EN649" s="1863"/>
      <c r="EO649" s="1863"/>
      <c r="EP649" s="1863"/>
      <c r="EQ649" s="1863"/>
      <c r="ER649" s="1863">
        <f>SUMIF(ER624:EV648,"&gt;0")</f>
        <v>0</v>
      </c>
      <c r="ES649" s="1863"/>
      <c r="ET649" s="1863"/>
      <c r="EU649" s="1863"/>
      <c r="EV649" s="1863"/>
      <c r="EW649" s="1863">
        <f>SUMIF(EW624:FA648,"&gt;0")</f>
        <v>0</v>
      </c>
      <c r="EX649" s="1863"/>
      <c r="EY649" s="1863"/>
      <c r="EZ649" s="1863"/>
      <c r="FA649" s="1863"/>
    </row>
    <row r="650" spans="1:157" ht="12.95" customHeight="1">
      <c r="A650" s="22"/>
      <c r="B650" t="s">
        <v>17</v>
      </c>
      <c r="G650" s="1366" t="s">
        <v>2718</v>
      </c>
      <c r="H650" s="1366"/>
      <c r="I650" s="1366"/>
      <c r="J650" s="1366"/>
      <c r="K650" s="1366"/>
      <c r="L650" s="1366"/>
      <c r="M650" s="1366"/>
      <c r="N650" s="1366"/>
      <c r="O650" s="1366"/>
      <c r="P650" s="1366"/>
      <c r="Q650" s="1366"/>
      <c r="R650" s="1366"/>
      <c r="T650" s="22"/>
      <c r="U650" t="s">
        <v>17</v>
      </c>
      <c r="Z650" s="1366" t="s">
        <v>2640</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6">
        <v>9494381056</v>
      </c>
      <c r="H651" s="1436"/>
      <c r="I651" s="1436"/>
      <c r="J651" s="1436"/>
      <c r="K651" s="1436"/>
      <c r="L651" s="1436"/>
      <c r="O651" s="33" t="s">
        <v>208</v>
      </c>
      <c r="P651" s="1465"/>
      <c r="Q651" s="1465"/>
      <c r="R651" s="1465"/>
      <c r="T651" s="22"/>
      <c r="U651" t="s">
        <v>318</v>
      </c>
      <c r="Z651" s="1436">
        <v>5592923385</v>
      </c>
      <c r="AA651" s="1436"/>
      <c r="AB651" s="1436"/>
      <c r="AC651" s="1436"/>
      <c r="AD651" s="1436"/>
      <c r="AE651" s="1436"/>
      <c r="AH651" s="33" t="s">
        <v>208</v>
      </c>
      <c r="AI651" s="1465"/>
      <c r="AJ651" s="1465"/>
      <c r="AK651" s="146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
        <v>2708</v>
      </c>
      <c r="I652" s="1394"/>
      <c r="J652" s="1394"/>
      <c r="K652" s="1394"/>
      <c r="L652" s="1394"/>
      <c r="M652" s="1394"/>
      <c r="N652" s="1394"/>
      <c r="O652" s="1394"/>
      <c r="P652" s="1394"/>
      <c r="Q652" s="1394"/>
      <c r="R652" s="1394"/>
      <c r="T652" s="22"/>
      <c r="U652" t="s">
        <v>18</v>
      </c>
      <c r="AA652" s="1394" t="s">
        <v>1922</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7">
        <f>C627</f>
        <v>0</v>
      </c>
      <c r="H655" s="1517"/>
      <c r="I655" s="1517"/>
      <c r="J655" s="1517"/>
      <c r="K655" s="1517"/>
      <c r="L655" s="1517"/>
      <c r="M655" s="1517"/>
      <c r="N655" s="1517"/>
      <c r="O655" s="1517"/>
      <c r="P655" s="1517"/>
      <c r="Q655" s="1517"/>
      <c r="R655" s="1517"/>
      <c r="T655" s="55" t="s">
        <v>594</v>
      </c>
      <c r="U655" t="s">
        <v>473</v>
      </c>
      <c r="Z655" s="1517">
        <f>C628</f>
        <v>0</v>
      </c>
      <c r="AA655" s="1517"/>
      <c r="AB655" s="1517"/>
      <c r="AC655" s="1517"/>
      <c r="AD655" s="1517"/>
      <c r="AE655" s="1517"/>
      <c r="AF655" s="1517"/>
      <c r="AG655" s="1517"/>
      <c r="AH655" s="1517"/>
      <c r="AI655" s="1517"/>
      <c r="AJ655" s="1517"/>
      <c r="AK655" s="1517"/>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1462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1462</v>
      </c>
      <c r="BB657" s="3"/>
      <c r="BC657" s="3"/>
      <c r="BD657" s="3"/>
      <c r="BE657" s="3"/>
      <c r="BF657" s="218"/>
      <c r="BG657" s="315">
        <f t="shared" ref="BG657:BG681" si="43">G714</f>
        <v>5</v>
      </c>
      <c r="BH657" s="319">
        <f>BG657/$BG$682</f>
        <v>7.2463768115942032E-2</v>
      </c>
      <c r="BI657" s="320">
        <f t="shared" ref="BI657:BI681" si="44">IF(BH657=0," ",BH657*AC714)</f>
        <v>2.1739130434782608E-2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1462</v>
      </c>
      <c r="BB658" s="3"/>
      <c r="BC658" s="3"/>
      <c r="BD658" s="3"/>
      <c r="BE658" s="3"/>
      <c r="BF658" s="218"/>
      <c r="BG658" s="316">
        <f t="shared" si="43"/>
        <v>2</v>
      </c>
      <c r="BH658" s="319">
        <f t="shared" ref="BH658:BH681" si="45">BG658/$BG$682</f>
        <v>2.8985507246376812E-2</v>
      </c>
      <c r="BI658" s="320">
        <f t="shared" si="44"/>
        <v>1.1594202898550725E-2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6"/>
      <c r="H659" s="1436"/>
      <c r="I659" s="1436"/>
      <c r="J659" s="1436"/>
      <c r="K659" s="1436"/>
      <c r="L659" s="1436"/>
      <c r="O659" s="33" t="s">
        <v>208</v>
      </c>
      <c r="P659" s="1465"/>
      <c r="Q659" s="1465"/>
      <c r="R659" s="1465"/>
      <c r="T659" s="22"/>
      <c r="U659" t="s">
        <v>318</v>
      </c>
      <c r="Z659" s="1436"/>
      <c r="AA659" s="1436"/>
      <c r="AB659" s="1436"/>
      <c r="AC659" s="1436"/>
      <c r="AD659" s="1436"/>
      <c r="AE659" s="1436"/>
      <c r="AH659" s="33" t="s">
        <v>208</v>
      </c>
      <c r="AI659" s="1465"/>
      <c r="AJ659" s="1465"/>
      <c r="AK659" s="1465"/>
      <c r="AZ659" s="3"/>
      <c r="BA659" s="118">
        <f t="shared" si="42"/>
        <v>1462</v>
      </c>
      <c r="BB659" s="3"/>
      <c r="BC659" s="3"/>
      <c r="BD659" s="3"/>
      <c r="BE659" s="3"/>
      <c r="BF659" s="218"/>
      <c r="BG659" s="316">
        <f t="shared" si="43"/>
        <v>1</v>
      </c>
      <c r="BH659" s="319">
        <f t="shared" si="45"/>
        <v>1.4492753623188406E-2</v>
      </c>
      <c r="BI659" s="320">
        <f t="shared" si="44"/>
        <v>5.7971014492753624E-3</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1462</v>
      </c>
      <c r="BB660" s="3"/>
      <c r="BC660" s="3"/>
      <c r="BD660" s="3"/>
      <c r="BE660" s="3"/>
      <c r="BF660" s="218"/>
      <c r="BG660" s="316">
        <f t="shared" si="43"/>
        <v>5</v>
      </c>
      <c r="BH660" s="319">
        <f t="shared" si="45"/>
        <v>7.2463768115942032E-2</v>
      </c>
      <c r="BI660" s="320">
        <f t="shared" si="44"/>
        <v>3.6231884057971016E-2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f t="shared" si="42"/>
        <v>1754</v>
      </c>
      <c r="BB661" s="3"/>
      <c r="BC661" s="3"/>
      <c r="BD661" s="3"/>
      <c r="BE661" s="3"/>
      <c r="BF661" s="218"/>
      <c r="BG661" s="316">
        <f t="shared" si="43"/>
        <v>5</v>
      </c>
      <c r="BH661" s="319">
        <f t="shared" si="45"/>
        <v>7.2463768115942032E-2</v>
      </c>
      <c r="BI661" s="320">
        <f t="shared" si="44"/>
        <v>4.3478260869565216E-2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1754</v>
      </c>
      <c r="BB662" s="3"/>
      <c r="BC662" s="3"/>
      <c r="BD662" s="3"/>
      <c r="BE662" s="3"/>
      <c r="BF662" s="218"/>
      <c r="BG662" s="316">
        <f t="shared" si="43"/>
        <v>8</v>
      </c>
      <c r="BH662" s="319">
        <f t="shared" si="45"/>
        <v>0.11594202898550725</v>
      </c>
      <c r="BI662" s="320">
        <f t="shared" si="44"/>
        <v>3.4782608695652174E-2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7">
        <f>C629</f>
        <v>0</v>
      </c>
      <c r="H663" s="1517"/>
      <c r="I663" s="1517"/>
      <c r="J663" s="1517"/>
      <c r="K663" s="1517"/>
      <c r="L663" s="1517"/>
      <c r="M663" s="1517"/>
      <c r="N663" s="1517"/>
      <c r="O663" s="1517"/>
      <c r="P663" s="1517"/>
      <c r="Q663" s="1517"/>
      <c r="R663" s="1517"/>
      <c r="T663" s="55" t="s">
        <v>466</v>
      </c>
      <c r="U663" t="s">
        <v>473</v>
      </c>
      <c r="Z663" s="1517">
        <f>C630</f>
        <v>0</v>
      </c>
      <c r="AA663" s="1517"/>
      <c r="AB663" s="1517"/>
      <c r="AC663" s="1517"/>
      <c r="AD663" s="1517"/>
      <c r="AE663" s="1517"/>
      <c r="AF663" s="1517"/>
      <c r="AG663" s="1517"/>
      <c r="AH663" s="1517"/>
      <c r="AI663" s="1517"/>
      <c r="AJ663" s="1517"/>
      <c r="AK663" s="1517"/>
      <c r="AZ663" s="3"/>
      <c r="BA663" s="118">
        <f t="shared" si="42"/>
        <v>1754</v>
      </c>
      <c r="BB663" s="3"/>
      <c r="BC663" s="3"/>
      <c r="BD663" s="3"/>
      <c r="BE663" s="3"/>
      <c r="BF663" s="218"/>
      <c r="BG663" s="316">
        <f t="shared" si="43"/>
        <v>3</v>
      </c>
      <c r="BH663" s="319">
        <f t="shared" si="45"/>
        <v>4.3478260869565216E-2</v>
      </c>
      <c r="BI663" s="320">
        <f t="shared" si="44"/>
        <v>1.7391304347826087E-2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2"/>
        <v>1754</v>
      </c>
      <c r="BB664" s="3"/>
      <c r="BC664" s="3"/>
      <c r="BD664" s="3"/>
      <c r="BE664" s="3"/>
      <c r="BF664" s="218"/>
      <c r="BG664" s="316">
        <f t="shared" si="43"/>
        <v>3</v>
      </c>
      <c r="BH664" s="319">
        <f t="shared" si="45"/>
        <v>4.3478260869565216E-2</v>
      </c>
      <c r="BI664" s="320">
        <f t="shared" si="44"/>
        <v>1.7391304347826087E-2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f t="shared" si="42"/>
        <v>1754</v>
      </c>
      <c r="BB665" s="3"/>
      <c r="BC665" s="3"/>
      <c r="BD665" s="3"/>
      <c r="BE665" s="3"/>
      <c r="BF665" s="218"/>
      <c r="BG665" s="316">
        <f t="shared" si="43"/>
        <v>9</v>
      </c>
      <c r="BH665" s="319">
        <f t="shared" si="45"/>
        <v>0.13043478260869565</v>
      </c>
      <c r="BI665" s="320">
        <f t="shared" si="44"/>
        <v>6.5217391304347824E-2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f t="shared" si="42"/>
        <v>2026</v>
      </c>
      <c r="BB666" s="3"/>
      <c r="BC666" s="3"/>
      <c r="BD666" s="3"/>
      <c r="BE666" s="3"/>
      <c r="BF666" s="218"/>
      <c r="BG666" s="316">
        <f t="shared" si="43"/>
        <v>10</v>
      </c>
      <c r="BH666" s="319">
        <f t="shared" si="45"/>
        <v>0.14492753623188406</v>
      </c>
      <c r="BI666" s="320">
        <f t="shared" si="44"/>
        <v>8.6956521739130432E-2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6"/>
      <c r="H667" s="1436"/>
      <c r="I667" s="1436"/>
      <c r="J667" s="1436"/>
      <c r="K667" s="1436"/>
      <c r="L667" s="1436"/>
      <c r="O667" s="33" t="s">
        <v>208</v>
      </c>
      <c r="P667" s="1465"/>
      <c r="Q667" s="1465"/>
      <c r="R667" s="1465"/>
      <c r="T667" s="22"/>
      <c r="U667" t="s">
        <v>318</v>
      </c>
      <c r="Z667" s="1436"/>
      <c r="AA667" s="1436"/>
      <c r="AB667" s="1436"/>
      <c r="AC667" s="1436"/>
      <c r="AD667" s="1436"/>
      <c r="AE667" s="1436"/>
      <c r="AH667" s="33" t="s">
        <v>208</v>
      </c>
      <c r="AI667" s="1465"/>
      <c r="AJ667" s="1465"/>
      <c r="AK667" s="1465"/>
      <c r="AZ667" s="3"/>
      <c r="BA667" s="118">
        <f t="shared" si="42"/>
        <v>2026</v>
      </c>
      <c r="BB667" s="3"/>
      <c r="BC667" s="3"/>
      <c r="BD667" s="3"/>
      <c r="BE667" s="3"/>
      <c r="BF667" s="218"/>
      <c r="BG667" s="316">
        <f t="shared" si="43"/>
        <v>5</v>
      </c>
      <c r="BH667" s="319">
        <f t="shared" si="45"/>
        <v>7.2463768115942032E-2</v>
      </c>
      <c r="BI667" s="320">
        <f t="shared" si="44"/>
        <v>2.1739130434782608E-2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f t="shared" si="42"/>
        <v>2026</v>
      </c>
      <c r="BB668" s="3"/>
      <c r="BC668" s="3"/>
      <c r="BD668" s="3"/>
      <c r="BE668" s="3"/>
      <c r="BF668" s="218"/>
      <c r="BG668" s="316">
        <f t="shared" si="43"/>
        <v>2</v>
      </c>
      <c r="BH668" s="319">
        <f t="shared" si="45"/>
        <v>2.8985507246376812E-2</v>
      </c>
      <c r="BI668" s="320">
        <f t="shared" si="44"/>
        <v>1.1594202898550725E-2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f t="shared" si="42"/>
        <v>2026</v>
      </c>
      <c r="BB669" s="3"/>
      <c r="BC669" s="3"/>
      <c r="BD669" s="3"/>
      <c r="BE669" s="3"/>
      <c r="BF669" s="218"/>
      <c r="BG669" s="316">
        <f t="shared" si="43"/>
        <v>1</v>
      </c>
      <c r="BH669" s="319">
        <f t="shared" si="45"/>
        <v>1.4492753623188406E-2</v>
      </c>
      <c r="BI669" s="320">
        <f t="shared" si="44"/>
        <v>5.7971014492753624E-3</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2026</v>
      </c>
      <c r="BB670" s="3"/>
      <c r="BC670" s="3"/>
      <c r="BD670" s="3"/>
      <c r="BE670" s="3"/>
      <c r="BF670" s="218"/>
      <c r="BG670" s="316">
        <f t="shared" si="43"/>
        <v>5</v>
      </c>
      <c r="BH670" s="319">
        <f t="shared" si="45"/>
        <v>7.2463768115942032E-2</v>
      </c>
      <c r="BI670" s="320">
        <f t="shared" si="44"/>
        <v>3.6231884057971016E-2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7">
        <f>C631</f>
        <v>0</v>
      </c>
      <c r="H671" s="1517"/>
      <c r="I671" s="1517"/>
      <c r="J671" s="1517"/>
      <c r="K671" s="1517"/>
      <c r="L671" s="1517"/>
      <c r="M671" s="1517"/>
      <c r="N671" s="1517"/>
      <c r="O671" s="1517"/>
      <c r="P671" s="1517"/>
      <c r="Q671" s="1517"/>
      <c r="R671" s="1517"/>
      <c r="T671" s="55" t="s">
        <v>656</v>
      </c>
      <c r="U671" t="s">
        <v>473</v>
      </c>
      <c r="Z671" s="1517">
        <f>C632</f>
        <v>0</v>
      </c>
      <c r="AA671" s="1517"/>
      <c r="AB671" s="1517"/>
      <c r="AC671" s="1517"/>
      <c r="AD671" s="1517"/>
      <c r="AE671" s="1517"/>
      <c r="AF671" s="1517"/>
      <c r="AG671" s="1517"/>
      <c r="AH671" s="1517"/>
      <c r="AI671" s="1517"/>
      <c r="AJ671" s="1517"/>
      <c r="AK671" s="1517"/>
      <c r="AZ671" s="3"/>
      <c r="BA671" s="118" t="str">
        <f t="shared" si="42"/>
        <v>N/A</v>
      </c>
      <c r="BB671" s="3"/>
      <c r="BC671" s="3"/>
      <c r="BD671" s="3"/>
      <c r="BE671" s="3"/>
      <c r="BF671" s="218"/>
      <c r="BG671" s="316">
        <f t="shared" si="43"/>
        <v>5</v>
      </c>
      <c r="BH671" s="319">
        <f t="shared" si="45"/>
        <v>7.2463768115942032E-2</v>
      </c>
      <c r="BI671" s="320">
        <f t="shared" si="44"/>
        <v>4.3478260869565216E-2</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6"/>
      <c r="H675" s="1436"/>
      <c r="I675" s="1436"/>
      <c r="J675" s="1436"/>
      <c r="K675" s="1436"/>
      <c r="L675" s="1436"/>
      <c r="O675" s="33" t="s">
        <v>208</v>
      </c>
      <c r="P675" s="1465"/>
      <c r="Q675" s="1465"/>
      <c r="R675" s="1465"/>
      <c r="T675" s="22"/>
      <c r="U675" t="s">
        <v>318</v>
      </c>
      <c r="Z675" s="1436"/>
      <c r="AA675" s="1436"/>
      <c r="AB675" s="1436"/>
      <c r="AC675" s="1436"/>
      <c r="AD675" s="1436"/>
      <c r="AE675" s="1436"/>
      <c r="AH675" s="33" t="s">
        <v>208</v>
      </c>
      <c r="AI675" s="1465"/>
      <c r="AJ675" s="1465"/>
      <c r="AK675" s="1465"/>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7">
        <f>C633</f>
        <v>0</v>
      </c>
      <c r="H679" s="1517"/>
      <c r="I679" s="1517"/>
      <c r="J679" s="1517"/>
      <c r="K679" s="1517"/>
      <c r="L679" s="1517"/>
      <c r="M679" s="1517"/>
      <c r="N679" s="1517"/>
      <c r="O679" s="1517"/>
      <c r="P679" s="1517"/>
      <c r="Q679" s="1517"/>
      <c r="R679" s="1517"/>
      <c r="T679" s="55" t="s">
        <v>365</v>
      </c>
      <c r="U679" t="s">
        <v>473</v>
      </c>
      <c r="Z679" s="1517">
        <f>C634</f>
        <v>0</v>
      </c>
      <c r="AA679" s="1517"/>
      <c r="AB679" s="1517"/>
      <c r="AC679" s="1517"/>
      <c r="AD679" s="1517"/>
      <c r="AE679" s="1517"/>
      <c r="AF679" s="1517"/>
      <c r="AG679" s="1517"/>
      <c r="AH679" s="1517"/>
      <c r="AI679" s="1517"/>
      <c r="AJ679" s="1517"/>
      <c r="AK679" s="1517"/>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69</v>
      </c>
      <c r="BH682" s="322">
        <f>SUM(BH657:BH681)</f>
        <v>0.99999999999999989</v>
      </c>
      <c r="BI682" s="322">
        <f>SUM(BI657:BI681)</f>
        <v>0.45942028985507244</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6"/>
      <c r="H683" s="1436"/>
      <c r="I683" s="1436"/>
      <c r="J683" s="1436"/>
      <c r="K683" s="1436"/>
      <c r="L683" s="1436"/>
      <c r="O683" s="33" t="s">
        <v>208</v>
      </c>
      <c r="P683" s="1465"/>
      <c r="Q683" s="1465"/>
      <c r="R683" s="1465"/>
      <c r="U683" t="s">
        <v>318</v>
      </c>
      <c r="Z683" s="1436"/>
      <c r="AA683" s="1436"/>
      <c r="AB683" s="1436"/>
      <c r="AC683" s="1436"/>
      <c r="AD683" s="1436"/>
      <c r="AE683" s="1436"/>
      <c r="AH683" s="33" t="s">
        <v>208</v>
      </c>
      <c r="AI683" s="1465"/>
      <c r="AJ683" s="1465"/>
      <c r="AK683" s="1465"/>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5</v>
      </c>
      <c r="BH689" s="319">
        <f>BG689/$BG$714</f>
        <v>7.2463768115942032E-2</v>
      </c>
      <c r="BI689" s="320">
        <f t="shared" ref="BI689:BI713" si="47">IF(BH689=0," ",BH689*AH714)</f>
        <v>2.1709391542258968E-2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6"/>
        <v>2</v>
      </c>
      <c r="BH690" s="319">
        <f t="shared" ref="BH690:BH713" si="48">BG690/$BG$714</f>
        <v>2.8985507246376812E-2</v>
      </c>
      <c r="BI690" s="320">
        <f t="shared" si="47"/>
        <v>1.1598168084220544E-2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45">
        <v>45069</v>
      </c>
      <c r="AF691" s="1545"/>
      <c r="AG691" s="1545"/>
      <c r="AH691" s="1545"/>
      <c r="AI691" s="1545"/>
      <c r="AZ691" s="34"/>
      <c r="BA691" s="34"/>
      <c r="BB691" s="34"/>
      <c r="BC691" s="34"/>
      <c r="BD691" s="34"/>
      <c r="BE691" s="3"/>
      <c r="BF691" s="3"/>
      <c r="BG691" s="316">
        <f t="shared" si="46"/>
        <v>1</v>
      </c>
      <c r="BH691" s="319">
        <f t="shared" si="48"/>
        <v>1.4492753623188406E-2</v>
      </c>
      <c r="BI691" s="320">
        <f t="shared" si="47"/>
        <v>5.7990840421102722E-3</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33">
        <v>45161</v>
      </c>
      <c r="AF692" s="1733"/>
      <c r="AG692" s="1733"/>
      <c r="AH692" s="1733"/>
      <c r="AI692" s="1733"/>
      <c r="AZ692" s="34"/>
      <c r="BA692" s="34"/>
      <c r="BB692" s="34"/>
      <c r="BC692" s="34"/>
      <c r="BD692" s="34"/>
      <c r="BE692" s="3"/>
      <c r="BF692" s="2"/>
      <c r="BG692" s="316">
        <f t="shared" si="46"/>
        <v>5</v>
      </c>
      <c r="BH692" s="319">
        <f t="shared" si="48"/>
        <v>7.2463768115942032E-2</v>
      </c>
      <c r="BI692" s="320">
        <f t="shared" si="47"/>
        <v>3.6231884057971016E-2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7.2463768115942032E-2</v>
      </c>
      <c r="BI693" s="320">
        <f t="shared" si="47"/>
        <v>4.3468347905390677E-2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45">
        <v>45245</v>
      </c>
      <c r="AF694" s="1545"/>
      <c r="AG694" s="1545"/>
      <c r="AH694" s="1545"/>
      <c r="AI694" s="1545"/>
      <c r="AZ694" s="3"/>
      <c r="BA694" s="3"/>
      <c r="BB694" s="3"/>
      <c r="BC694" s="3"/>
      <c r="BD694" s="3"/>
      <c r="BE694" s="3"/>
      <c r="BF694" s="3"/>
      <c r="BG694" s="316">
        <f t="shared" si="46"/>
        <v>8</v>
      </c>
      <c r="BH694" s="319">
        <f t="shared" si="48"/>
        <v>0.11594202898550725</v>
      </c>
      <c r="BI694" s="320">
        <f t="shared" si="47"/>
        <v>3.4769388395881881E-2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14">
        <v>0.51459999999999995</v>
      </c>
      <c r="AF695" s="1714"/>
      <c r="AG695" s="1714"/>
      <c r="AH695" s="1714"/>
      <c r="AI695" s="1714"/>
      <c r="AZ695" s="3"/>
      <c r="BA695" s="3"/>
      <c r="BB695" s="3"/>
      <c r="BC695" s="3"/>
      <c r="BD695" s="3"/>
      <c r="BE695" s="3"/>
      <c r="BF695" s="3"/>
      <c r="BG695" s="316">
        <f t="shared" si="46"/>
        <v>3</v>
      </c>
      <c r="BH695" s="319">
        <f t="shared" si="48"/>
        <v>4.3478260869565216E-2</v>
      </c>
      <c r="BI695" s="320">
        <f t="shared" si="47"/>
        <v>1.7401219572653809E-2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7" t="str">
        <f>H334</f>
        <v>California Municipal Finance Authority</v>
      </c>
      <c r="X696" s="1517"/>
      <c r="Y696" s="1517"/>
      <c r="Z696" s="1517"/>
      <c r="AA696" s="1517"/>
      <c r="AB696" s="1517"/>
      <c r="AC696" s="1517"/>
      <c r="AD696" s="1517"/>
      <c r="AE696" s="1517"/>
      <c r="AF696" s="1517"/>
      <c r="AG696" s="1517"/>
      <c r="AH696" s="1517"/>
      <c r="AI696" s="1517"/>
      <c r="AJ696" s="1517"/>
      <c r="AK696" s="1517"/>
      <c r="AZ696" s="3"/>
      <c r="BA696" s="3"/>
      <c r="BB696" s="3"/>
      <c r="BC696" s="3"/>
      <c r="BD696" s="3"/>
      <c r="BE696" s="3"/>
      <c r="BF696" s="3"/>
      <c r="BG696" s="316">
        <f t="shared" si="46"/>
        <v>3</v>
      </c>
      <c r="BH696" s="319">
        <f t="shared" si="48"/>
        <v>4.3478260869565216E-2</v>
      </c>
      <c r="BI696" s="320">
        <f t="shared" si="47"/>
        <v>1.7401219572653809E-2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9</v>
      </c>
      <c r="BH697" s="319">
        <f t="shared" si="48"/>
        <v>0.13043478260869565</v>
      </c>
      <c r="BI697" s="320">
        <f t="shared" si="47"/>
        <v>6.5217391304347824E-2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10</v>
      </c>
      <c r="BH698" s="319">
        <f t="shared" si="48"/>
        <v>0.14492753623188406</v>
      </c>
      <c r="BI698" s="320">
        <f t="shared" si="47"/>
        <v>8.7006097863269058E-2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5</v>
      </c>
      <c r="BH699" s="319">
        <f t="shared" si="48"/>
        <v>7.2463768115942032E-2</v>
      </c>
      <c r="BI699" s="320">
        <f t="shared" si="47"/>
        <v>2.1710516903443638E-2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2</v>
      </c>
      <c r="BH700" s="319">
        <f t="shared" si="48"/>
        <v>2.8985507246376812E-2</v>
      </c>
      <c r="BI700" s="320">
        <f t="shared" si="47"/>
        <v>1.1588480192282931E-2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208</v>
      </c>
      <c r="Q701" s="4"/>
      <c r="R701" s="1465"/>
      <c r="S701" s="1465"/>
      <c r="T701" s="1465"/>
      <c r="AZ701" s="3"/>
      <c r="BA701" s="3"/>
      <c r="BB701" s="3"/>
      <c r="BC701" s="3"/>
      <c r="BD701" s="3"/>
      <c r="BE701" s="3"/>
      <c r="BF701" s="3"/>
      <c r="BG701" s="316">
        <f t="shared" si="46"/>
        <v>1</v>
      </c>
      <c r="BH701" s="319">
        <f t="shared" si="48"/>
        <v>1.4492753623188406E-2</v>
      </c>
      <c r="BI701" s="320">
        <f t="shared" si="47"/>
        <v>5.7942400961414654E-3</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5</v>
      </c>
      <c r="BH702" s="319">
        <f t="shared" si="48"/>
        <v>7.2463768115942032E-2</v>
      </c>
      <c r="BI702" s="320">
        <f t="shared" si="47"/>
        <v>3.6231884057971016E-2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5</v>
      </c>
      <c r="BH703" s="319">
        <f t="shared" si="48"/>
        <v>7.2463768115942032E-2</v>
      </c>
      <c r="BI703" s="320">
        <f t="shared" si="47"/>
        <v>4.3456800721060992E-2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5" t="s">
        <v>391</v>
      </c>
      <c r="C710" s="1486"/>
      <c r="D710" s="1486"/>
      <c r="E710" s="1486"/>
      <c r="F710" s="1487"/>
      <c r="G710" s="1485" t="s">
        <v>287</v>
      </c>
      <c r="H710" s="1486"/>
      <c r="I710" s="1486"/>
      <c r="J710" s="1487"/>
      <c r="K710" s="1503" t="s">
        <v>1939</v>
      </c>
      <c r="L710" s="1504"/>
      <c r="M710" s="1504"/>
      <c r="N710" s="1505"/>
      <c r="O710" s="1485" t="s">
        <v>457</v>
      </c>
      <c r="P710" s="1486"/>
      <c r="Q710" s="1486"/>
      <c r="R710" s="1486"/>
      <c r="S710" s="1487"/>
      <c r="T710" s="1582" t="s">
        <v>2336</v>
      </c>
      <c r="U710" s="1486"/>
      <c r="V710" s="1486"/>
      <c r="W710" s="1487"/>
      <c r="X710" s="1582" t="s">
        <v>2338</v>
      </c>
      <c r="Y710" s="1486"/>
      <c r="Z710" s="1486"/>
      <c r="AA710" s="1486"/>
      <c r="AB710" s="1487"/>
      <c r="AC710" s="1582" t="s">
        <v>2337</v>
      </c>
      <c r="AD710" s="1486"/>
      <c r="AE710" s="1486"/>
      <c r="AF710" s="1486"/>
      <c r="AG710" s="1487"/>
      <c r="AH710" s="1582" t="s">
        <v>2339</v>
      </c>
      <c r="AI710" s="1486"/>
      <c r="AJ710" s="1487"/>
      <c r="AK710" s="1582" t="s">
        <v>2373</v>
      </c>
      <c r="AL710" s="1486"/>
      <c r="AM710" s="1486"/>
      <c r="AN710" s="1486"/>
      <c r="AO710" s="1487"/>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8"/>
      <c r="C711" s="1489"/>
      <c r="D711" s="1489"/>
      <c r="E711" s="1489"/>
      <c r="F711" s="1490"/>
      <c r="G711" s="1488"/>
      <c r="H711" s="1489"/>
      <c r="I711" s="1489"/>
      <c r="J711" s="1490"/>
      <c r="K711" s="1506"/>
      <c r="L711" s="1507"/>
      <c r="M711" s="1507"/>
      <c r="N711" s="1508"/>
      <c r="O711" s="1488"/>
      <c r="P711" s="1489"/>
      <c r="Q711" s="1489"/>
      <c r="R711" s="1489"/>
      <c r="S711" s="1490"/>
      <c r="T711" s="1488"/>
      <c r="U711" s="1489"/>
      <c r="V711" s="1489"/>
      <c r="W711" s="1490"/>
      <c r="X711" s="1488"/>
      <c r="Y711" s="1489"/>
      <c r="Z711" s="1489"/>
      <c r="AA711" s="1489"/>
      <c r="AB711" s="1490"/>
      <c r="AC711" s="1488"/>
      <c r="AD711" s="1489"/>
      <c r="AE711" s="1489"/>
      <c r="AF711" s="1489"/>
      <c r="AG711" s="1490"/>
      <c r="AH711" s="1488"/>
      <c r="AI711" s="1489"/>
      <c r="AJ711" s="1490"/>
      <c r="AK711" s="1488"/>
      <c r="AL711" s="1489"/>
      <c r="AM711" s="1489"/>
      <c r="AN711" s="1489"/>
      <c r="AO711" s="1490"/>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8"/>
      <c r="C712" s="1489"/>
      <c r="D712" s="1489"/>
      <c r="E712" s="1489"/>
      <c r="F712" s="1490"/>
      <c r="G712" s="1488"/>
      <c r="H712" s="1489"/>
      <c r="I712" s="1489"/>
      <c r="J712" s="1490"/>
      <c r="K712" s="1506"/>
      <c r="L712" s="1507"/>
      <c r="M712" s="1507"/>
      <c r="N712" s="1508"/>
      <c r="O712" s="1488"/>
      <c r="P712" s="1489"/>
      <c r="Q712" s="1489"/>
      <c r="R712" s="1489"/>
      <c r="S712" s="1490"/>
      <c r="T712" s="1488"/>
      <c r="U712" s="1489"/>
      <c r="V712" s="1489"/>
      <c r="W712" s="1490"/>
      <c r="X712" s="1488"/>
      <c r="Y712" s="1489"/>
      <c r="Z712" s="1489"/>
      <c r="AA712" s="1489"/>
      <c r="AB712" s="1490"/>
      <c r="AC712" s="1488"/>
      <c r="AD712" s="1489"/>
      <c r="AE712" s="1489"/>
      <c r="AF712" s="1489"/>
      <c r="AG712" s="1490"/>
      <c r="AH712" s="1488"/>
      <c r="AI712" s="1489"/>
      <c r="AJ712" s="1490"/>
      <c r="AK712" s="1488"/>
      <c r="AL712" s="1489"/>
      <c r="AM712" s="1489"/>
      <c r="AN712" s="1489"/>
      <c r="AO712" s="149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1"/>
      <c r="C713" s="1492"/>
      <c r="D713" s="1492"/>
      <c r="E713" s="1492"/>
      <c r="F713" s="1493"/>
      <c r="G713" s="1491"/>
      <c r="H713" s="1492"/>
      <c r="I713" s="1492"/>
      <c r="J713" s="1493"/>
      <c r="K713" s="1506"/>
      <c r="L713" s="1507"/>
      <c r="M713" s="1507"/>
      <c r="N713" s="1508"/>
      <c r="O713" s="1491"/>
      <c r="P713" s="1492"/>
      <c r="Q713" s="1492"/>
      <c r="R713" s="1492"/>
      <c r="S713" s="1493"/>
      <c r="T713" s="1491"/>
      <c r="U713" s="1492"/>
      <c r="V713" s="1492"/>
      <c r="W713" s="1493"/>
      <c r="X713" s="1491"/>
      <c r="Y713" s="1492"/>
      <c r="Z713" s="1492"/>
      <c r="AA713" s="1492"/>
      <c r="AB713" s="1493"/>
      <c r="AC713" s="1491"/>
      <c r="AD713" s="1492"/>
      <c r="AE713" s="1492"/>
      <c r="AF713" s="1492"/>
      <c r="AG713" s="1493"/>
      <c r="AH713" s="1491"/>
      <c r="AI713" s="1492"/>
      <c r="AJ713" s="1493"/>
      <c r="AK713" s="1491"/>
      <c r="AL713" s="1492"/>
      <c r="AM713" s="1492"/>
      <c r="AN713" s="1492"/>
      <c r="AO713" s="149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49" t="s">
        <v>327</v>
      </c>
      <c r="C714" s="1450"/>
      <c r="D714" s="1450"/>
      <c r="E714" s="1450"/>
      <c r="F714" s="1575"/>
      <c r="G714" s="1482">
        <v>5</v>
      </c>
      <c r="H714" s="1483"/>
      <c r="I714" s="1483"/>
      <c r="J714" s="1484"/>
      <c r="K714" s="1479">
        <v>613</v>
      </c>
      <c r="L714" s="1480"/>
      <c r="M714" s="1480"/>
      <c r="N714" s="1481"/>
      <c r="O714" s="1576">
        <f>438-T714</f>
        <v>317</v>
      </c>
      <c r="P714" s="1577"/>
      <c r="Q714" s="1577"/>
      <c r="R714" s="1577"/>
      <c r="S714" s="1578"/>
      <c r="T714" s="1576">
        <v>121</v>
      </c>
      <c r="U714" s="1577"/>
      <c r="V714" s="1577"/>
      <c r="W714" s="1578"/>
      <c r="X714" s="1497">
        <f t="shared" ref="X714:X738" si="49">O714+T714</f>
        <v>438</v>
      </c>
      <c r="Y714" s="1498"/>
      <c r="Z714" s="1498"/>
      <c r="AA714" s="1498"/>
      <c r="AB714" s="1499"/>
      <c r="AC714" s="1583">
        <v>0.3</v>
      </c>
      <c r="AD714" s="1584"/>
      <c r="AE714" s="1584"/>
      <c r="AF714" s="1584"/>
      <c r="AG714" s="1585"/>
      <c r="AH714" s="1579">
        <f t="shared" ref="AH714:AH738" si="50">IF($AC714&gt;0,($X714/$BA656), " ")</f>
        <v>0.29958960328317374</v>
      </c>
      <c r="AI714" s="1580"/>
      <c r="AJ714" s="1581"/>
      <c r="AK714" s="1379" t="s">
        <v>601</v>
      </c>
      <c r="AL714" s="1380"/>
      <c r="AM714" s="1380"/>
      <c r="AN714" s="1380"/>
      <c r="AO714" s="1381"/>
      <c r="AP714" s="3"/>
      <c r="AQ714" s="3"/>
      <c r="AR714" s="3"/>
      <c r="AS714" s="3"/>
      <c r="AY714" s="1134"/>
      <c r="AZ714" s="1134"/>
      <c r="BA714" s="1134"/>
      <c r="BB714" s="1134"/>
      <c r="BC714" s="1134"/>
      <c r="BD714" s="3"/>
      <c r="BE714" s="3"/>
      <c r="BF714" s="3"/>
      <c r="BG714" s="895">
        <f>SUM(BG689:BG713)</f>
        <v>69</v>
      </c>
      <c r="BH714" s="322">
        <f>SUM(BH689:BH713)</f>
        <v>0.99999999999999989</v>
      </c>
      <c r="BI714" s="322">
        <f>SUM(BI689:BI713)</f>
        <v>0.45938411431165799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49" t="s">
        <v>327</v>
      </c>
      <c r="C715" s="1450"/>
      <c r="D715" s="1450"/>
      <c r="E715" s="1450"/>
      <c r="F715" s="1575"/>
      <c r="G715" s="1482">
        <v>2</v>
      </c>
      <c r="H715" s="1483"/>
      <c r="I715" s="1483"/>
      <c r="J715" s="1484"/>
      <c r="K715" s="1479">
        <v>613</v>
      </c>
      <c r="L715" s="1480"/>
      <c r="M715" s="1480"/>
      <c r="N715" s="1481"/>
      <c r="O715" s="1576">
        <f>585-T715</f>
        <v>464</v>
      </c>
      <c r="P715" s="1577"/>
      <c r="Q715" s="1577"/>
      <c r="R715" s="1577"/>
      <c r="S715" s="1578"/>
      <c r="T715" s="1576">
        <v>121</v>
      </c>
      <c r="U715" s="1577"/>
      <c r="V715" s="1577"/>
      <c r="W715" s="1578"/>
      <c r="X715" s="1497">
        <f t="shared" si="49"/>
        <v>585</v>
      </c>
      <c r="Y715" s="1498"/>
      <c r="Z715" s="1498"/>
      <c r="AA715" s="1498"/>
      <c r="AB715" s="1499"/>
      <c r="AC715" s="1583">
        <v>0.4</v>
      </c>
      <c r="AD715" s="1584"/>
      <c r="AE715" s="1584"/>
      <c r="AF715" s="1584"/>
      <c r="AG715" s="1585"/>
      <c r="AH715" s="1579">
        <f t="shared" si="50"/>
        <v>0.40013679890560877</v>
      </c>
      <c r="AI715" s="1580"/>
      <c r="AJ715" s="1581"/>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49" t="s">
        <v>327</v>
      </c>
      <c r="C716" s="1450"/>
      <c r="D716" s="1450"/>
      <c r="E716" s="1450"/>
      <c r="F716" s="1575"/>
      <c r="G716" s="1482">
        <v>1</v>
      </c>
      <c r="H716" s="1483"/>
      <c r="I716" s="1483"/>
      <c r="J716" s="1484"/>
      <c r="K716" s="1479">
        <v>613</v>
      </c>
      <c r="L716" s="1480"/>
      <c r="M716" s="1480"/>
      <c r="N716" s="1481"/>
      <c r="O716" s="1576">
        <f>585-T716</f>
        <v>574.88</v>
      </c>
      <c r="P716" s="1577"/>
      <c r="Q716" s="1577"/>
      <c r="R716" s="1577"/>
      <c r="S716" s="1578"/>
      <c r="T716" s="1576">
        <v>10.119999999999999</v>
      </c>
      <c r="U716" s="1577"/>
      <c r="V716" s="1577"/>
      <c r="W716" s="1578"/>
      <c r="X716" s="1497">
        <f t="shared" si="49"/>
        <v>585</v>
      </c>
      <c r="Y716" s="1498"/>
      <c r="Z716" s="1498"/>
      <c r="AA716" s="1498"/>
      <c r="AB716" s="1499"/>
      <c r="AC716" s="1583">
        <v>0.4</v>
      </c>
      <c r="AD716" s="1584"/>
      <c r="AE716" s="1584"/>
      <c r="AF716" s="1584"/>
      <c r="AG716" s="1585"/>
      <c r="AH716" s="1579">
        <f t="shared" si="50"/>
        <v>0.40013679890560877</v>
      </c>
      <c r="AI716" s="1580"/>
      <c r="AJ716" s="1581"/>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49" t="s">
        <v>327</v>
      </c>
      <c r="C717" s="1450"/>
      <c r="D717" s="1450"/>
      <c r="E717" s="1450"/>
      <c r="F717" s="1575"/>
      <c r="G717" s="1482">
        <v>5</v>
      </c>
      <c r="H717" s="1483"/>
      <c r="I717" s="1483"/>
      <c r="J717" s="1484"/>
      <c r="K717" s="1479">
        <v>613</v>
      </c>
      <c r="L717" s="1480"/>
      <c r="M717" s="1480"/>
      <c r="N717" s="1481"/>
      <c r="O717" s="1576">
        <f>731-T717</f>
        <v>720.88</v>
      </c>
      <c r="P717" s="1577"/>
      <c r="Q717" s="1577"/>
      <c r="R717" s="1577"/>
      <c r="S717" s="1578"/>
      <c r="T717" s="1576">
        <v>10.119999999999999</v>
      </c>
      <c r="U717" s="1577"/>
      <c r="V717" s="1577"/>
      <c r="W717" s="1578"/>
      <c r="X717" s="1497">
        <f t="shared" si="49"/>
        <v>731</v>
      </c>
      <c r="Y717" s="1498"/>
      <c r="Z717" s="1498"/>
      <c r="AA717" s="1498"/>
      <c r="AB717" s="1499"/>
      <c r="AC717" s="1583">
        <v>0.5</v>
      </c>
      <c r="AD717" s="1584"/>
      <c r="AE717" s="1584"/>
      <c r="AF717" s="1584"/>
      <c r="AG717" s="1585"/>
      <c r="AH717" s="1579">
        <f t="shared" si="50"/>
        <v>0.5</v>
      </c>
      <c r="AI717" s="1580"/>
      <c r="AJ717" s="1581"/>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49" t="s">
        <v>327</v>
      </c>
      <c r="C718" s="1450"/>
      <c r="D718" s="1450"/>
      <c r="E718" s="1450"/>
      <c r="F718" s="1575"/>
      <c r="G718" s="1482">
        <v>5</v>
      </c>
      <c r="H718" s="1483"/>
      <c r="I718" s="1483"/>
      <c r="J718" s="1484"/>
      <c r="K718" s="1479">
        <v>613</v>
      </c>
      <c r="L718" s="1480"/>
      <c r="M718" s="1480"/>
      <c r="N718" s="1481"/>
      <c r="O718" s="1576">
        <f>877-T718</f>
        <v>866.88</v>
      </c>
      <c r="P718" s="1577"/>
      <c r="Q718" s="1577"/>
      <c r="R718" s="1577"/>
      <c r="S718" s="1578"/>
      <c r="T718" s="1576">
        <v>10.119999999999999</v>
      </c>
      <c r="U718" s="1577"/>
      <c r="V718" s="1577"/>
      <c r="W718" s="1578"/>
      <c r="X718" s="1497">
        <f t="shared" si="49"/>
        <v>877</v>
      </c>
      <c r="Y718" s="1498"/>
      <c r="Z718" s="1498"/>
      <c r="AA718" s="1498"/>
      <c r="AB718" s="1499"/>
      <c r="AC718" s="1583">
        <v>0.6</v>
      </c>
      <c r="AD718" s="1584"/>
      <c r="AE718" s="1584"/>
      <c r="AF718" s="1584"/>
      <c r="AG718" s="1585"/>
      <c r="AH718" s="1579">
        <f t="shared" si="50"/>
        <v>0.59986320109439129</v>
      </c>
      <c r="AI718" s="1580"/>
      <c r="AJ718" s="1581"/>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49" t="s">
        <v>164</v>
      </c>
      <c r="C719" s="1450"/>
      <c r="D719" s="1450"/>
      <c r="E719" s="1450"/>
      <c r="F719" s="1575"/>
      <c r="G719" s="1482">
        <v>8</v>
      </c>
      <c r="H719" s="1483"/>
      <c r="I719" s="1483"/>
      <c r="J719" s="1484"/>
      <c r="K719" s="1479">
        <v>916</v>
      </c>
      <c r="L719" s="1480"/>
      <c r="M719" s="1480"/>
      <c r="N719" s="1481"/>
      <c r="O719" s="1576">
        <f>526-T719</f>
        <v>380</v>
      </c>
      <c r="P719" s="1577"/>
      <c r="Q719" s="1577"/>
      <c r="R719" s="1577"/>
      <c r="S719" s="1578"/>
      <c r="T719" s="1576">
        <v>146</v>
      </c>
      <c r="U719" s="1577"/>
      <c r="V719" s="1577"/>
      <c r="W719" s="1578"/>
      <c r="X719" s="1497">
        <f t="shared" si="49"/>
        <v>526</v>
      </c>
      <c r="Y719" s="1498"/>
      <c r="Z719" s="1498"/>
      <c r="AA719" s="1498"/>
      <c r="AB719" s="1499"/>
      <c r="AC719" s="1583">
        <v>0.3</v>
      </c>
      <c r="AD719" s="1584"/>
      <c r="AE719" s="1584"/>
      <c r="AF719" s="1584"/>
      <c r="AG719" s="1585"/>
      <c r="AH719" s="1579">
        <f t="shared" si="50"/>
        <v>0.29988597491448121</v>
      </c>
      <c r="AI719" s="1580"/>
      <c r="AJ719" s="1581"/>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49" t="s">
        <v>164</v>
      </c>
      <c r="C720" s="1450"/>
      <c r="D720" s="1450"/>
      <c r="E720" s="1450"/>
      <c r="F720" s="1575"/>
      <c r="G720" s="1482">
        <v>3</v>
      </c>
      <c r="H720" s="1483"/>
      <c r="I720" s="1483"/>
      <c r="J720" s="1484"/>
      <c r="K720" s="1479">
        <v>916</v>
      </c>
      <c r="L720" s="1480"/>
      <c r="M720" s="1480"/>
      <c r="N720" s="1481"/>
      <c r="O720" s="1576">
        <f>702-T720</f>
        <v>556</v>
      </c>
      <c r="P720" s="1577"/>
      <c r="Q720" s="1577"/>
      <c r="R720" s="1577"/>
      <c r="S720" s="1578"/>
      <c r="T720" s="1576">
        <v>146</v>
      </c>
      <c r="U720" s="1577"/>
      <c r="V720" s="1577"/>
      <c r="W720" s="1578"/>
      <c r="X720" s="1497">
        <f t="shared" si="49"/>
        <v>702</v>
      </c>
      <c r="Y720" s="1498"/>
      <c r="Z720" s="1498"/>
      <c r="AA720" s="1498"/>
      <c r="AB720" s="1499"/>
      <c r="AC720" s="1583">
        <v>0.4</v>
      </c>
      <c r="AD720" s="1584"/>
      <c r="AE720" s="1584"/>
      <c r="AF720" s="1584"/>
      <c r="AG720" s="1585"/>
      <c r="AH720" s="1579">
        <f t="shared" si="50"/>
        <v>0.40022805017103763</v>
      </c>
      <c r="AI720" s="1580"/>
      <c r="AJ720" s="1581"/>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49" t="s">
        <v>164</v>
      </c>
      <c r="C721" s="1450"/>
      <c r="D721" s="1450"/>
      <c r="E721" s="1450"/>
      <c r="F721" s="1575"/>
      <c r="G721" s="1482">
        <v>3</v>
      </c>
      <c r="H721" s="1483"/>
      <c r="I721" s="1483"/>
      <c r="J721" s="1484"/>
      <c r="K721" s="1479">
        <v>916</v>
      </c>
      <c r="L721" s="1480"/>
      <c r="M721" s="1480"/>
      <c r="N721" s="1481"/>
      <c r="O721" s="1576">
        <f>702-T721</f>
        <v>691.88</v>
      </c>
      <c r="P721" s="1577"/>
      <c r="Q721" s="1577"/>
      <c r="R721" s="1577"/>
      <c r="S721" s="1578"/>
      <c r="T721" s="1576">
        <v>10.119999999999999</v>
      </c>
      <c r="U721" s="1577"/>
      <c r="V721" s="1577"/>
      <c r="W721" s="1578"/>
      <c r="X721" s="1497">
        <f t="shared" si="49"/>
        <v>702</v>
      </c>
      <c r="Y721" s="1498"/>
      <c r="Z721" s="1498"/>
      <c r="AA721" s="1498"/>
      <c r="AB721" s="1499"/>
      <c r="AC721" s="1583">
        <v>0.4</v>
      </c>
      <c r="AD721" s="1584"/>
      <c r="AE721" s="1584"/>
      <c r="AF721" s="1584"/>
      <c r="AG721" s="1585"/>
      <c r="AH721" s="1579">
        <f t="shared" si="50"/>
        <v>0.40022805017103763</v>
      </c>
      <c r="AI721" s="1580"/>
      <c r="AJ721" s="1581"/>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49" t="s">
        <v>164</v>
      </c>
      <c r="C722" s="1450"/>
      <c r="D722" s="1450"/>
      <c r="E722" s="1450"/>
      <c r="F722" s="1575"/>
      <c r="G722" s="1482">
        <v>9</v>
      </c>
      <c r="H722" s="1483"/>
      <c r="I722" s="1483"/>
      <c r="J722" s="1484"/>
      <c r="K722" s="1479">
        <v>916</v>
      </c>
      <c r="L722" s="1480"/>
      <c r="M722" s="1480"/>
      <c r="N722" s="1481"/>
      <c r="O722" s="1576">
        <f>877-T722</f>
        <v>866.88</v>
      </c>
      <c r="P722" s="1577"/>
      <c r="Q722" s="1577"/>
      <c r="R722" s="1577"/>
      <c r="S722" s="1578"/>
      <c r="T722" s="1576">
        <v>10.119999999999999</v>
      </c>
      <c r="U722" s="1577"/>
      <c r="V722" s="1577"/>
      <c r="W722" s="1578"/>
      <c r="X722" s="1497">
        <f t="shared" si="49"/>
        <v>877</v>
      </c>
      <c r="Y722" s="1498"/>
      <c r="Z722" s="1498"/>
      <c r="AA722" s="1498"/>
      <c r="AB722" s="1499"/>
      <c r="AC722" s="1583">
        <v>0.5</v>
      </c>
      <c r="AD722" s="1584"/>
      <c r="AE722" s="1584"/>
      <c r="AF722" s="1584"/>
      <c r="AG722" s="1585"/>
      <c r="AH722" s="1579">
        <f t="shared" si="50"/>
        <v>0.5</v>
      </c>
      <c r="AI722" s="1580"/>
      <c r="AJ722" s="1581"/>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49" t="s">
        <v>164</v>
      </c>
      <c r="C723" s="1450"/>
      <c r="D723" s="1450"/>
      <c r="E723" s="1450"/>
      <c r="F723" s="1575"/>
      <c r="G723" s="1482">
        <v>10</v>
      </c>
      <c r="H723" s="1483"/>
      <c r="I723" s="1483"/>
      <c r="J723" s="1484"/>
      <c r="K723" s="1479">
        <v>916</v>
      </c>
      <c r="L723" s="1480"/>
      <c r="M723" s="1480"/>
      <c r="N723" s="1481"/>
      <c r="O723" s="1576">
        <f>1053-T723</f>
        <v>1042.8800000000001</v>
      </c>
      <c r="P723" s="1577"/>
      <c r="Q723" s="1577"/>
      <c r="R723" s="1577"/>
      <c r="S723" s="1578"/>
      <c r="T723" s="1576">
        <v>10.119999999999999</v>
      </c>
      <c r="U723" s="1577"/>
      <c r="V723" s="1577"/>
      <c r="W723" s="1578"/>
      <c r="X723" s="1497">
        <f t="shared" si="49"/>
        <v>1053</v>
      </c>
      <c r="Y723" s="1498"/>
      <c r="Z723" s="1498"/>
      <c r="AA723" s="1498"/>
      <c r="AB723" s="1499"/>
      <c r="AC723" s="1583">
        <v>0.6</v>
      </c>
      <c r="AD723" s="1584"/>
      <c r="AE723" s="1584"/>
      <c r="AF723" s="1584"/>
      <c r="AG723" s="1585"/>
      <c r="AH723" s="1579">
        <f t="shared" si="50"/>
        <v>0.60034207525655647</v>
      </c>
      <c r="AI723" s="1580"/>
      <c r="AJ723" s="1581"/>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49" t="s">
        <v>165</v>
      </c>
      <c r="C724" s="1450"/>
      <c r="D724" s="1450"/>
      <c r="E724" s="1450"/>
      <c r="F724" s="1575"/>
      <c r="G724" s="1482">
        <v>5</v>
      </c>
      <c r="H724" s="1483"/>
      <c r="I724" s="1483"/>
      <c r="J724" s="1484"/>
      <c r="K724" s="1479">
        <v>1247</v>
      </c>
      <c r="L724" s="1480"/>
      <c r="M724" s="1480"/>
      <c r="N724" s="1481"/>
      <c r="O724" s="1576">
        <f>607-T724</f>
        <v>437</v>
      </c>
      <c r="P724" s="1577"/>
      <c r="Q724" s="1577"/>
      <c r="R724" s="1577"/>
      <c r="S724" s="1578"/>
      <c r="T724" s="1576">
        <v>170</v>
      </c>
      <c r="U724" s="1577"/>
      <c r="V724" s="1577"/>
      <c r="W724" s="1578"/>
      <c r="X724" s="1497">
        <f t="shared" si="49"/>
        <v>607</v>
      </c>
      <c r="Y724" s="1498"/>
      <c r="Z724" s="1498"/>
      <c r="AA724" s="1498"/>
      <c r="AB724" s="1499"/>
      <c r="AC724" s="1583">
        <v>0.3</v>
      </c>
      <c r="AD724" s="1584"/>
      <c r="AE724" s="1584"/>
      <c r="AF724" s="1584"/>
      <c r="AG724" s="1585"/>
      <c r="AH724" s="1579">
        <f t="shared" si="50"/>
        <v>0.29960513326752219</v>
      </c>
      <c r="AI724" s="1580"/>
      <c r="AJ724" s="1581"/>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49" t="s">
        <v>165</v>
      </c>
      <c r="C725" s="1450"/>
      <c r="D725" s="1450"/>
      <c r="E725" s="1450"/>
      <c r="F725" s="1575"/>
      <c r="G725" s="1482">
        <v>2</v>
      </c>
      <c r="H725" s="1483"/>
      <c r="I725" s="1483"/>
      <c r="J725" s="1484"/>
      <c r="K725" s="1479">
        <v>1247</v>
      </c>
      <c r="L725" s="1480"/>
      <c r="M725" s="1480"/>
      <c r="N725" s="1481"/>
      <c r="O725" s="1576">
        <f>810-T725</f>
        <v>640</v>
      </c>
      <c r="P725" s="1577"/>
      <c r="Q725" s="1577"/>
      <c r="R725" s="1577"/>
      <c r="S725" s="1578"/>
      <c r="T725" s="1576">
        <v>170</v>
      </c>
      <c r="U725" s="1577"/>
      <c r="V725" s="1577"/>
      <c r="W725" s="1578"/>
      <c r="X725" s="1497">
        <f t="shared" si="49"/>
        <v>810</v>
      </c>
      <c r="Y725" s="1498"/>
      <c r="Z725" s="1498"/>
      <c r="AA725" s="1498"/>
      <c r="AB725" s="1499"/>
      <c r="AC725" s="1583">
        <v>0.4</v>
      </c>
      <c r="AD725" s="1584"/>
      <c r="AE725" s="1584"/>
      <c r="AF725" s="1584"/>
      <c r="AG725" s="1585"/>
      <c r="AH725" s="1579">
        <f t="shared" si="50"/>
        <v>0.39980256663376113</v>
      </c>
      <c r="AI725" s="1580"/>
      <c r="AJ725" s="1581"/>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49" t="s">
        <v>165</v>
      </c>
      <c r="C726" s="1450"/>
      <c r="D726" s="1450"/>
      <c r="E726" s="1450"/>
      <c r="F726" s="1575"/>
      <c r="G726" s="1482">
        <v>1</v>
      </c>
      <c r="H726" s="1483"/>
      <c r="I726" s="1483"/>
      <c r="J726" s="1484"/>
      <c r="K726" s="1479">
        <v>1247</v>
      </c>
      <c r="L726" s="1480"/>
      <c r="M726" s="1480"/>
      <c r="N726" s="1481"/>
      <c r="O726" s="1576">
        <f>810-T726</f>
        <v>799.88</v>
      </c>
      <c r="P726" s="1577"/>
      <c r="Q726" s="1577"/>
      <c r="R726" s="1577"/>
      <c r="S726" s="1578"/>
      <c r="T726" s="1576">
        <v>10.119999999999999</v>
      </c>
      <c r="U726" s="1577"/>
      <c r="V726" s="1577"/>
      <c r="W726" s="1578"/>
      <c r="X726" s="1497">
        <f t="shared" si="49"/>
        <v>810</v>
      </c>
      <c r="Y726" s="1498"/>
      <c r="Z726" s="1498"/>
      <c r="AA726" s="1498"/>
      <c r="AB726" s="1499"/>
      <c r="AC726" s="1583">
        <v>0.4</v>
      </c>
      <c r="AD726" s="1584"/>
      <c r="AE726" s="1584"/>
      <c r="AF726" s="1584"/>
      <c r="AG726" s="1585"/>
      <c r="AH726" s="1579">
        <f t="shared" si="50"/>
        <v>0.39980256663376113</v>
      </c>
      <c r="AI726" s="1580"/>
      <c r="AJ726" s="1581"/>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49" t="s">
        <v>165</v>
      </c>
      <c r="C727" s="1450"/>
      <c r="D727" s="1450"/>
      <c r="E727" s="1450"/>
      <c r="F727" s="1575"/>
      <c r="G727" s="1482">
        <v>5</v>
      </c>
      <c r="H727" s="1483"/>
      <c r="I727" s="1483"/>
      <c r="J727" s="1484"/>
      <c r="K727" s="1479">
        <v>1247</v>
      </c>
      <c r="L727" s="1480"/>
      <c r="M727" s="1480"/>
      <c r="N727" s="1481"/>
      <c r="O727" s="1576">
        <f>1013-T727</f>
        <v>1002.88</v>
      </c>
      <c r="P727" s="1577"/>
      <c r="Q727" s="1577"/>
      <c r="R727" s="1577"/>
      <c r="S727" s="1578"/>
      <c r="T727" s="1576">
        <v>10.119999999999999</v>
      </c>
      <c r="U727" s="1577"/>
      <c r="V727" s="1577"/>
      <c r="W727" s="1578"/>
      <c r="X727" s="1497">
        <f t="shared" si="49"/>
        <v>1013</v>
      </c>
      <c r="Y727" s="1498"/>
      <c r="Z727" s="1498"/>
      <c r="AA727" s="1498"/>
      <c r="AB727" s="1499"/>
      <c r="AC727" s="1583">
        <v>0.5</v>
      </c>
      <c r="AD727" s="1584"/>
      <c r="AE727" s="1584"/>
      <c r="AF727" s="1584"/>
      <c r="AG727" s="1585"/>
      <c r="AH727" s="1579">
        <f t="shared" si="50"/>
        <v>0.5</v>
      </c>
      <c r="AI727" s="1580"/>
      <c r="AJ727" s="1581"/>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49" t="s">
        <v>165</v>
      </c>
      <c r="C728" s="1450"/>
      <c r="D728" s="1450"/>
      <c r="E728" s="1450"/>
      <c r="F728" s="1575"/>
      <c r="G728" s="1482">
        <v>5</v>
      </c>
      <c r="H728" s="1483"/>
      <c r="I728" s="1483"/>
      <c r="J728" s="1484"/>
      <c r="K728" s="1479">
        <v>1247</v>
      </c>
      <c r="L728" s="1480"/>
      <c r="M728" s="1480"/>
      <c r="N728" s="1481"/>
      <c r="O728" s="1576">
        <f>1215-T728</f>
        <v>1204.8800000000001</v>
      </c>
      <c r="P728" s="1577"/>
      <c r="Q728" s="1577"/>
      <c r="R728" s="1577"/>
      <c r="S728" s="1578"/>
      <c r="T728" s="1576">
        <v>10.119999999999999</v>
      </c>
      <c r="U728" s="1577"/>
      <c r="V728" s="1577"/>
      <c r="W728" s="1578"/>
      <c r="X728" s="1497">
        <f t="shared" si="49"/>
        <v>1215</v>
      </c>
      <c r="Y728" s="1498"/>
      <c r="Z728" s="1498"/>
      <c r="AA728" s="1498"/>
      <c r="AB728" s="1499"/>
      <c r="AC728" s="1583">
        <v>0.6</v>
      </c>
      <c r="AD728" s="1584"/>
      <c r="AE728" s="1584"/>
      <c r="AF728" s="1584"/>
      <c r="AG728" s="1585"/>
      <c r="AH728" s="1579">
        <f t="shared" si="50"/>
        <v>0.59970384995064163</v>
      </c>
      <c r="AI728" s="1580"/>
      <c r="AJ728" s="1581"/>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94"/>
      <c r="H729" s="1495"/>
      <c r="I729" s="1495"/>
      <c r="J729" s="1496"/>
      <c r="K729" s="1479"/>
      <c r="L729" s="1480"/>
      <c r="M729" s="1480"/>
      <c r="N729" s="1481"/>
      <c r="O729" s="1476"/>
      <c r="P729" s="1477"/>
      <c r="Q729" s="1477"/>
      <c r="R729" s="1477"/>
      <c r="S729" s="1478"/>
      <c r="T729" s="1476"/>
      <c r="U729" s="1477"/>
      <c r="V729" s="1477"/>
      <c r="W729" s="1478"/>
      <c r="X729" s="1497">
        <f t="shared" si="49"/>
        <v>0</v>
      </c>
      <c r="Y729" s="1498"/>
      <c r="Z729" s="1498"/>
      <c r="AA729" s="1498"/>
      <c r="AB729" s="1499"/>
      <c r="AC729" s="1622">
        <v>0</v>
      </c>
      <c r="AD729" s="1623"/>
      <c r="AE729" s="1623"/>
      <c r="AF729" s="1623"/>
      <c r="AG729" s="1624"/>
      <c r="AH729" s="1579" t="str">
        <f t="shared" si="50"/>
        <v xml:space="preserve"> </v>
      </c>
      <c r="AI729" s="1580"/>
      <c r="AJ729" s="1581"/>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94"/>
      <c r="H730" s="1495"/>
      <c r="I730" s="1495"/>
      <c r="J730" s="1496"/>
      <c r="K730" s="1479"/>
      <c r="L730" s="1480"/>
      <c r="M730" s="1480"/>
      <c r="N730" s="1481"/>
      <c r="O730" s="1476"/>
      <c r="P730" s="1477"/>
      <c r="Q730" s="1477"/>
      <c r="R730" s="1477"/>
      <c r="S730" s="1478"/>
      <c r="T730" s="1476"/>
      <c r="U730" s="1477"/>
      <c r="V730" s="1477"/>
      <c r="W730" s="1478"/>
      <c r="X730" s="1497">
        <f t="shared" si="49"/>
        <v>0</v>
      </c>
      <c r="Y730" s="1498"/>
      <c r="Z730" s="1498"/>
      <c r="AA730" s="1498"/>
      <c r="AB730" s="1499"/>
      <c r="AC730" s="1622">
        <v>0</v>
      </c>
      <c r="AD730" s="1623"/>
      <c r="AE730" s="1623"/>
      <c r="AF730" s="1623"/>
      <c r="AG730" s="1624"/>
      <c r="AH730" s="1579" t="str">
        <f t="shared" si="50"/>
        <v xml:space="preserve"> </v>
      </c>
      <c r="AI730" s="1580"/>
      <c r="AJ730" s="1581"/>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94"/>
      <c r="H731" s="1495"/>
      <c r="I731" s="1495"/>
      <c r="J731" s="1496"/>
      <c r="K731" s="1479"/>
      <c r="L731" s="1480"/>
      <c r="M731" s="1480"/>
      <c r="N731" s="1481"/>
      <c r="O731" s="1476"/>
      <c r="P731" s="1477"/>
      <c r="Q731" s="1477"/>
      <c r="R731" s="1477"/>
      <c r="S731" s="1478"/>
      <c r="T731" s="1476"/>
      <c r="U731" s="1477"/>
      <c r="V731" s="1477"/>
      <c r="W731" s="1478"/>
      <c r="X731" s="1497">
        <f t="shared" si="49"/>
        <v>0</v>
      </c>
      <c r="Y731" s="1498"/>
      <c r="Z731" s="1498"/>
      <c r="AA731" s="1498"/>
      <c r="AB731" s="1499"/>
      <c r="AC731" s="1622">
        <v>0</v>
      </c>
      <c r="AD731" s="1623"/>
      <c r="AE731" s="1623"/>
      <c r="AF731" s="1623"/>
      <c r="AG731" s="1624"/>
      <c r="AH731" s="1579" t="str">
        <f t="shared" si="50"/>
        <v xml:space="preserve"> </v>
      </c>
      <c r="AI731" s="1580"/>
      <c r="AJ731" s="1581"/>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94"/>
      <c r="H732" s="1495"/>
      <c r="I732" s="1495"/>
      <c r="J732" s="1496"/>
      <c r="K732" s="1479"/>
      <c r="L732" s="1480"/>
      <c r="M732" s="1480"/>
      <c r="N732" s="1481"/>
      <c r="O732" s="1476"/>
      <c r="P732" s="1477"/>
      <c r="Q732" s="1477"/>
      <c r="R732" s="1477"/>
      <c r="S732" s="1478"/>
      <c r="T732" s="1476"/>
      <c r="U732" s="1477"/>
      <c r="V732" s="1477"/>
      <c r="W732" s="1478"/>
      <c r="X732" s="1497">
        <f t="shared" si="49"/>
        <v>0</v>
      </c>
      <c r="Y732" s="1498"/>
      <c r="Z732" s="1498"/>
      <c r="AA732" s="1498"/>
      <c r="AB732" s="1499"/>
      <c r="AC732" s="1622">
        <v>0</v>
      </c>
      <c r="AD732" s="1623"/>
      <c r="AE732" s="1623"/>
      <c r="AF732" s="1623"/>
      <c r="AG732" s="1624"/>
      <c r="AH732" s="1579" t="str">
        <f t="shared" si="50"/>
        <v xml:space="preserve"> </v>
      </c>
      <c r="AI732" s="1580"/>
      <c r="AJ732" s="1581"/>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94"/>
      <c r="H733" s="1495"/>
      <c r="I733" s="1495"/>
      <c r="J733" s="1496"/>
      <c r="K733" s="1479"/>
      <c r="L733" s="1480"/>
      <c r="M733" s="1480"/>
      <c r="N733" s="1481"/>
      <c r="O733" s="1476"/>
      <c r="P733" s="1477"/>
      <c r="Q733" s="1477"/>
      <c r="R733" s="1477"/>
      <c r="S733" s="1478"/>
      <c r="T733" s="1476"/>
      <c r="U733" s="1477"/>
      <c r="V733" s="1477"/>
      <c r="W733" s="1478"/>
      <c r="X733" s="1497">
        <f t="shared" si="49"/>
        <v>0</v>
      </c>
      <c r="Y733" s="1498"/>
      <c r="Z733" s="1498"/>
      <c r="AA733" s="1498"/>
      <c r="AB733" s="1499"/>
      <c r="AC733" s="1622">
        <v>0</v>
      </c>
      <c r="AD733" s="1623"/>
      <c r="AE733" s="1623"/>
      <c r="AF733" s="1623"/>
      <c r="AG733" s="1624"/>
      <c r="AH733" s="1579" t="str">
        <f t="shared" si="50"/>
        <v xml:space="preserve"> </v>
      </c>
      <c r="AI733" s="1580"/>
      <c r="AJ733" s="1581"/>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94"/>
      <c r="H734" s="1495"/>
      <c r="I734" s="1495"/>
      <c r="J734" s="1496"/>
      <c r="K734" s="1479"/>
      <c r="L734" s="1480"/>
      <c r="M734" s="1480"/>
      <c r="N734" s="1481"/>
      <c r="O734" s="1476"/>
      <c r="P734" s="1477"/>
      <c r="Q734" s="1477"/>
      <c r="R734" s="1477"/>
      <c r="S734" s="1478"/>
      <c r="T734" s="1476"/>
      <c r="U734" s="1477"/>
      <c r="V734" s="1477"/>
      <c r="W734" s="1478"/>
      <c r="X734" s="1497">
        <f t="shared" si="49"/>
        <v>0</v>
      </c>
      <c r="Y734" s="1498"/>
      <c r="Z734" s="1498"/>
      <c r="AA734" s="1498"/>
      <c r="AB734" s="1499"/>
      <c r="AC734" s="1622">
        <v>0</v>
      </c>
      <c r="AD734" s="1623"/>
      <c r="AE734" s="1623"/>
      <c r="AF734" s="1623"/>
      <c r="AG734" s="1624"/>
      <c r="AH734" s="1579" t="str">
        <f t="shared" si="50"/>
        <v xml:space="preserve"> </v>
      </c>
      <c r="AI734" s="1580"/>
      <c r="AJ734" s="1581"/>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94"/>
      <c r="H735" s="1495"/>
      <c r="I735" s="1495"/>
      <c r="J735" s="1496"/>
      <c r="K735" s="1479"/>
      <c r="L735" s="1480"/>
      <c r="M735" s="1480"/>
      <c r="N735" s="1481"/>
      <c r="O735" s="1476"/>
      <c r="P735" s="1477"/>
      <c r="Q735" s="1477"/>
      <c r="R735" s="1477"/>
      <c r="S735" s="1478"/>
      <c r="T735" s="1476"/>
      <c r="U735" s="1477"/>
      <c r="V735" s="1477"/>
      <c r="W735" s="1478"/>
      <c r="X735" s="1497">
        <f t="shared" si="49"/>
        <v>0</v>
      </c>
      <c r="Y735" s="1498"/>
      <c r="Z735" s="1498"/>
      <c r="AA735" s="1498"/>
      <c r="AB735" s="1499"/>
      <c r="AC735" s="1622">
        <v>0</v>
      </c>
      <c r="AD735" s="1623"/>
      <c r="AE735" s="1623"/>
      <c r="AF735" s="1623"/>
      <c r="AG735" s="1624"/>
      <c r="AH735" s="1579" t="str">
        <f t="shared" si="50"/>
        <v xml:space="preserve"> </v>
      </c>
      <c r="AI735" s="1580"/>
      <c r="AJ735" s="1581"/>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94"/>
      <c r="H736" s="1495"/>
      <c r="I736" s="1495"/>
      <c r="J736" s="1496"/>
      <c r="K736" s="1479"/>
      <c r="L736" s="1480"/>
      <c r="M736" s="1480"/>
      <c r="N736" s="1481"/>
      <c r="O736" s="1476"/>
      <c r="P736" s="1477"/>
      <c r="Q736" s="1477"/>
      <c r="R736" s="1477"/>
      <c r="S736" s="1478"/>
      <c r="T736" s="1476"/>
      <c r="U736" s="1477"/>
      <c r="V736" s="1477"/>
      <c r="W736" s="1478"/>
      <c r="X736" s="1497">
        <f t="shared" si="49"/>
        <v>0</v>
      </c>
      <c r="Y736" s="1498"/>
      <c r="Z736" s="1498"/>
      <c r="AA736" s="1498"/>
      <c r="AB736" s="1499"/>
      <c r="AC736" s="1622">
        <v>0</v>
      </c>
      <c r="AD736" s="1623"/>
      <c r="AE736" s="1623"/>
      <c r="AF736" s="1623"/>
      <c r="AG736" s="1624"/>
      <c r="AH736" s="1579" t="str">
        <f t="shared" si="50"/>
        <v xml:space="preserve"> </v>
      </c>
      <c r="AI736" s="1580"/>
      <c r="AJ736" s="1581"/>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94"/>
      <c r="H737" s="1495"/>
      <c r="I737" s="1495"/>
      <c r="J737" s="1496"/>
      <c r="K737" s="1479"/>
      <c r="L737" s="1480"/>
      <c r="M737" s="1480"/>
      <c r="N737" s="1481"/>
      <c r="O737" s="1476"/>
      <c r="P737" s="1477"/>
      <c r="Q737" s="1477"/>
      <c r="R737" s="1477"/>
      <c r="S737" s="1478"/>
      <c r="T737" s="1476"/>
      <c r="U737" s="1477"/>
      <c r="V737" s="1477"/>
      <c r="W737" s="1478"/>
      <c r="X737" s="1497">
        <f t="shared" si="49"/>
        <v>0</v>
      </c>
      <c r="Y737" s="1498"/>
      <c r="Z737" s="1498"/>
      <c r="AA737" s="1498"/>
      <c r="AB737" s="1499"/>
      <c r="AC737" s="1622">
        <v>0</v>
      </c>
      <c r="AD737" s="1623"/>
      <c r="AE737" s="1623"/>
      <c r="AF737" s="1623"/>
      <c r="AG737" s="1624"/>
      <c r="AH737" s="1579" t="str">
        <f t="shared" si="50"/>
        <v xml:space="preserve"> </v>
      </c>
      <c r="AI737" s="1580"/>
      <c r="AJ737" s="1581"/>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94"/>
      <c r="H738" s="1495"/>
      <c r="I738" s="1495"/>
      <c r="J738" s="1496"/>
      <c r="K738" s="1479"/>
      <c r="L738" s="1480"/>
      <c r="M738" s="1480"/>
      <c r="N738" s="1481"/>
      <c r="O738" s="1476"/>
      <c r="P738" s="1477"/>
      <c r="Q738" s="1477"/>
      <c r="R738" s="1477"/>
      <c r="S738" s="1478"/>
      <c r="T738" s="1476"/>
      <c r="U738" s="1477"/>
      <c r="V738" s="1477"/>
      <c r="W738" s="1478"/>
      <c r="X738" s="1497">
        <f t="shared" si="49"/>
        <v>0</v>
      </c>
      <c r="Y738" s="1498"/>
      <c r="Z738" s="1498"/>
      <c r="AA738" s="1498"/>
      <c r="AB738" s="1499"/>
      <c r="AC738" s="1622">
        <v>0</v>
      </c>
      <c r="AD738" s="1623"/>
      <c r="AE738" s="1623"/>
      <c r="AF738" s="1623"/>
      <c r="AG738" s="1624"/>
      <c r="AH738" s="1579" t="str">
        <f t="shared" si="50"/>
        <v xml:space="preserve"> </v>
      </c>
      <c r="AI738" s="1580"/>
      <c r="AJ738" s="1581"/>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2" t="s">
        <v>126</v>
      </c>
      <c r="C739" s="1523"/>
      <c r="D739" s="1523"/>
      <c r="E739" s="1523"/>
      <c r="F739" s="1525"/>
      <c r="G739" s="1762">
        <f>SUM(G714:J738)</f>
        <v>69</v>
      </c>
      <c r="H739" s="1763"/>
      <c r="I739" s="1763"/>
      <c r="J739" s="1764"/>
      <c r="K739" s="939" t="s">
        <v>125</v>
      </c>
      <c r="L739" s="5"/>
      <c r="M739" s="5"/>
      <c r="N739" s="46"/>
      <c r="O739" s="1497">
        <f>SUMPRODUCT(G714:G738,O714:O738)</f>
        <v>51344.72</v>
      </c>
      <c r="P739" s="1498"/>
      <c r="Q739" s="1498"/>
      <c r="R739" s="1498"/>
      <c r="S739" s="1499"/>
      <c r="X739" s="941" t="s">
        <v>934</v>
      </c>
      <c r="Y739" s="940"/>
      <c r="Z739" s="940"/>
      <c r="AA739" s="940"/>
      <c r="AB739" s="942"/>
      <c r="AC739" s="1710">
        <f>BI682</f>
        <v>0.45942028985507244</v>
      </c>
      <c r="AD739" s="1711"/>
      <c r="AE739" s="1711"/>
      <c r="AF739" s="1711"/>
      <c r="AG739" s="1712"/>
      <c r="AH739" s="1710">
        <f>BI714</f>
        <v>0.45938411431165799</v>
      </c>
      <c r="AI739" s="1711"/>
      <c r="AJ739" s="171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0" t="s">
        <v>2258</v>
      </c>
      <c r="C740" s="1500"/>
      <c r="D740" s="1500"/>
      <c r="E740" s="1500"/>
      <c r="F740" s="1500"/>
      <c r="G740" s="1500"/>
      <c r="H740" s="1500"/>
      <c r="I740" s="1500"/>
      <c r="J740" s="1500"/>
      <c r="K740" s="1500"/>
      <c r="L740" s="1500"/>
      <c r="M740" s="1500"/>
      <c r="N740" s="1500"/>
      <c r="O740" s="1500"/>
      <c r="P740" s="1500"/>
      <c r="Q740" s="1500"/>
      <c r="R740" s="1500"/>
      <c r="S740" s="1500"/>
      <c r="T740" s="1500"/>
      <c r="U740" s="1500"/>
      <c r="V740" s="1500"/>
      <c r="W740" s="1500"/>
      <c r="X740" s="1500"/>
      <c r="Y740" s="1500"/>
      <c r="Z740" s="1500"/>
      <c r="AA740" s="1500"/>
      <c r="AB740" s="1500"/>
      <c r="AC740" s="1500"/>
      <c r="AD740" s="1500"/>
      <c r="AE740" s="1500"/>
      <c r="AF740" s="1500"/>
      <c r="AG740" s="1500"/>
      <c r="AH740" s="150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0"/>
      <c r="C741" s="1500"/>
      <c r="D741" s="1500"/>
      <c r="E741" s="1500"/>
      <c r="F741" s="1500"/>
      <c r="G741" s="1500"/>
      <c r="H741" s="1500"/>
      <c r="I741" s="1500"/>
      <c r="J741" s="1500"/>
      <c r="K741" s="1500"/>
      <c r="L741" s="1500"/>
      <c r="M741" s="1500"/>
      <c r="N741" s="1500"/>
      <c r="O741" s="1500"/>
      <c r="P741" s="1500"/>
      <c r="Q741" s="1500"/>
      <c r="R741" s="1500"/>
      <c r="S741" s="1500"/>
      <c r="T741" s="1500"/>
      <c r="U741" s="1500"/>
      <c r="V741" s="1500"/>
      <c r="W741" s="1500"/>
      <c r="X741" s="1500"/>
      <c r="Y741" s="1500"/>
      <c r="Z741" s="1500"/>
      <c r="AA741" s="1500"/>
      <c r="AB741" s="1500"/>
      <c r="AC741" s="1500"/>
      <c r="AD741" s="1500"/>
      <c r="AE741" s="1500"/>
      <c r="AF741" s="1500"/>
      <c r="AG741" s="1500"/>
      <c r="AH741" s="150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702">
        <f>CS623</f>
        <v>138</v>
      </c>
      <c r="P742" s="1702"/>
      <c r="Q742" s="1702"/>
      <c r="R742" s="1702"/>
      <c r="S742" s="1006"/>
      <c r="T742" s="1006"/>
      <c r="U742" s="118" t="s">
        <v>2257</v>
      </c>
      <c r="V742" s="1076"/>
      <c r="W742" s="1076"/>
      <c r="X742" s="1076"/>
      <c r="Y742" s="1077"/>
      <c r="Z742" s="1077"/>
      <c r="AA742" s="1077"/>
      <c r="AB742" s="1077"/>
      <c r="AC742" s="1076"/>
      <c r="AD742" s="1076"/>
      <c r="AE742" s="1076"/>
      <c r="AF742" s="1076"/>
      <c r="AG742" s="1703"/>
      <c r="AH742" s="1703"/>
      <c r="AI742" s="1703"/>
      <c r="AJ742" s="170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4" t="s">
        <v>601</v>
      </c>
      <c r="AE744" s="1574"/>
      <c r="AF744" s="157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2510</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2511</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5" t="s">
        <v>391</v>
      </c>
      <c r="K754" s="1486"/>
      <c r="L754" s="1486"/>
      <c r="M754" s="1486"/>
      <c r="N754" s="1487"/>
      <c r="O754" s="1701" t="s">
        <v>287</v>
      </c>
      <c r="P754" s="1701"/>
      <c r="Q754" s="1701"/>
      <c r="R754" s="1701"/>
      <c r="S754" s="1701"/>
      <c r="T754" s="1503" t="s">
        <v>1939</v>
      </c>
      <c r="U754" s="1504"/>
      <c r="V754" s="1504"/>
      <c r="W754" s="1505"/>
      <c r="X754" s="1485" t="s">
        <v>457</v>
      </c>
      <c r="Y754" s="1486"/>
      <c r="Z754" s="1486"/>
      <c r="AA754" s="1486"/>
      <c r="AB754" s="1487"/>
      <c r="AC754" s="1485" t="s">
        <v>288</v>
      </c>
      <c r="AD754" s="1486"/>
      <c r="AE754" s="1486"/>
      <c r="AF754" s="1486"/>
      <c r="AG754" s="148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8"/>
      <c r="K755" s="1489"/>
      <c r="L755" s="1489"/>
      <c r="M755" s="1489"/>
      <c r="N755" s="1490"/>
      <c r="O755" s="1701"/>
      <c r="P755" s="1701"/>
      <c r="Q755" s="1701"/>
      <c r="R755" s="1701"/>
      <c r="S755" s="1701"/>
      <c r="T755" s="1506"/>
      <c r="U755" s="1507"/>
      <c r="V755" s="1507"/>
      <c r="W755" s="1508"/>
      <c r="X755" s="1488"/>
      <c r="Y755" s="1489"/>
      <c r="Z755" s="1489"/>
      <c r="AA755" s="1489"/>
      <c r="AB755" s="1490"/>
      <c r="AC755" s="1488"/>
      <c r="AD755" s="1489"/>
      <c r="AE755" s="1489"/>
      <c r="AF755" s="1489"/>
      <c r="AG755" s="149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8"/>
      <c r="K756" s="1489"/>
      <c r="L756" s="1489"/>
      <c r="M756" s="1489"/>
      <c r="N756" s="1490"/>
      <c r="O756" s="1701"/>
      <c r="P756" s="1701"/>
      <c r="Q756" s="1701"/>
      <c r="R756" s="1701"/>
      <c r="S756" s="1701"/>
      <c r="T756" s="1506"/>
      <c r="U756" s="1507"/>
      <c r="V756" s="1507"/>
      <c r="W756" s="1508"/>
      <c r="X756" s="1488"/>
      <c r="Y756" s="1489"/>
      <c r="Z756" s="1489"/>
      <c r="AA756" s="1489"/>
      <c r="AB756" s="1490"/>
      <c r="AC756" s="1488"/>
      <c r="AD756" s="1489"/>
      <c r="AE756" s="1489"/>
      <c r="AF756" s="1489"/>
      <c r="AG756" s="149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1"/>
      <c r="K757" s="1492"/>
      <c r="L757" s="1492"/>
      <c r="M757" s="1492"/>
      <c r="N757" s="1493"/>
      <c r="O757" s="1701"/>
      <c r="P757" s="1701"/>
      <c r="Q757" s="1701"/>
      <c r="R757" s="1701"/>
      <c r="S757" s="1701"/>
      <c r="T757" s="1509"/>
      <c r="U757" s="1510"/>
      <c r="V757" s="1510"/>
      <c r="W757" s="1511"/>
      <c r="X757" s="1491"/>
      <c r="Y757" s="1492"/>
      <c r="Z757" s="1492"/>
      <c r="AA757" s="1492"/>
      <c r="AB757" s="1493"/>
      <c r="AC757" s="1491"/>
      <c r="AD757" s="1492"/>
      <c r="AE757" s="1492"/>
      <c r="AF757" s="1492"/>
      <c r="AG757" s="149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79">
        <v>946</v>
      </c>
      <c r="U758" s="1480"/>
      <c r="V758" s="1480"/>
      <c r="W758" s="1481"/>
      <c r="X758" s="1476"/>
      <c r="Y758" s="1477"/>
      <c r="Z758" s="1477"/>
      <c r="AA758" s="1477"/>
      <c r="AB758" s="1478"/>
      <c r="AC758" s="1497">
        <f>X758*O758</f>
        <v>0</v>
      </c>
      <c r="AD758" s="1498"/>
      <c r="AE758" s="1498"/>
      <c r="AF758" s="1498"/>
      <c r="AG758" s="14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9"/>
      <c r="U759" s="1480"/>
      <c r="V759" s="1480"/>
      <c r="W759" s="1481"/>
      <c r="X759" s="1476"/>
      <c r="Y759" s="1477"/>
      <c r="Z759" s="1477"/>
      <c r="AA759" s="1477"/>
      <c r="AB759" s="1478"/>
      <c r="AC759" s="1497">
        <f>X759*O759</f>
        <v>0</v>
      </c>
      <c r="AD759" s="1498"/>
      <c r="AE759" s="1498"/>
      <c r="AF759" s="1498"/>
      <c r="AG759" s="14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9"/>
      <c r="U760" s="1480"/>
      <c r="V760" s="1480"/>
      <c r="W760" s="1481"/>
      <c r="X760" s="1476"/>
      <c r="Y760" s="1477"/>
      <c r="Z760" s="1477"/>
      <c r="AA760" s="1477"/>
      <c r="AB760" s="1478"/>
      <c r="AC760" s="1497">
        <f>X760*O760</f>
        <v>0</v>
      </c>
      <c r="AD760" s="1498"/>
      <c r="AE760" s="1498"/>
      <c r="AF760" s="1498"/>
      <c r="AG760" s="14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9"/>
      <c r="U761" s="1480"/>
      <c r="V761" s="1480"/>
      <c r="W761" s="1481"/>
      <c r="X761" s="1476"/>
      <c r="Y761" s="1477"/>
      <c r="Z761" s="1477"/>
      <c r="AA761" s="1477"/>
      <c r="AB761" s="1478"/>
      <c r="AC761" s="1497">
        <f>X761*O761</f>
        <v>0</v>
      </c>
      <c r="AD761" s="1498"/>
      <c r="AE761" s="1498"/>
      <c r="AF761" s="1498"/>
      <c r="AG761" s="14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2" t="s">
        <v>126</v>
      </c>
      <c r="K762" s="1523"/>
      <c r="L762" s="1523"/>
      <c r="M762" s="1523"/>
      <c r="N762" s="1525"/>
      <c r="O762" s="1501">
        <f>SUM(O758:S761)</f>
        <v>1</v>
      </c>
      <c r="P762" s="1515"/>
      <c r="Q762" s="1515"/>
      <c r="R762" s="1515"/>
      <c r="S762" s="1502"/>
      <c r="X762" s="1522" t="s">
        <v>125</v>
      </c>
      <c r="Y762" s="1523"/>
      <c r="Z762" s="1523"/>
      <c r="AA762" s="1523"/>
      <c r="AB762" s="1525"/>
      <c r="AC762" s="1497">
        <f>SUM(AC758:AG761)</f>
        <v>0</v>
      </c>
      <c r="AD762" s="1498"/>
      <c r="AE762" s="1498"/>
      <c r="AF762" s="1498"/>
      <c r="AG762" s="14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435" t="s">
        <v>679</v>
      </c>
      <c r="K764" s="1435"/>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5" t="s">
        <v>391</v>
      </c>
      <c r="K768" s="1486"/>
      <c r="L768" s="1486"/>
      <c r="M768" s="1486"/>
      <c r="N768" s="1487"/>
      <c r="O768" s="1701" t="s">
        <v>287</v>
      </c>
      <c r="P768" s="1701"/>
      <c r="Q768" s="1701"/>
      <c r="R768" s="1701"/>
      <c r="S768" s="1701"/>
      <c r="T768" s="1503" t="s">
        <v>1939</v>
      </c>
      <c r="U768" s="1504"/>
      <c r="V768" s="1504"/>
      <c r="W768" s="1505"/>
      <c r="X768" s="1485" t="s">
        <v>457</v>
      </c>
      <c r="Y768" s="1486"/>
      <c r="Z768" s="1486"/>
      <c r="AA768" s="1486"/>
      <c r="AB768" s="1487"/>
      <c r="AC768" s="1485" t="s">
        <v>288</v>
      </c>
      <c r="AD768" s="1486"/>
      <c r="AE768" s="1486"/>
      <c r="AF768" s="1486"/>
      <c r="AG768" s="1487"/>
      <c r="AH768" s="1625" t="s">
        <v>2132</v>
      </c>
      <c r="AI768" s="1626"/>
      <c r="AJ768" s="1626"/>
      <c r="AK768" s="1626"/>
      <c r="AL768" s="16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8"/>
      <c r="K769" s="1489"/>
      <c r="L769" s="1489"/>
      <c r="M769" s="1489"/>
      <c r="N769" s="1490"/>
      <c r="O769" s="1701"/>
      <c r="P769" s="1701"/>
      <c r="Q769" s="1701"/>
      <c r="R769" s="1701"/>
      <c r="S769" s="1701"/>
      <c r="T769" s="1506"/>
      <c r="U769" s="1507"/>
      <c r="V769" s="1507"/>
      <c r="W769" s="1508"/>
      <c r="X769" s="1488"/>
      <c r="Y769" s="1489"/>
      <c r="Z769" s="1489"/>
      <c r="AA769" s="1489"/>
      <c r="AB769" s="1490"/>
      <c r="AC769" s="1488"/>
      <c r="AD769" s="1489"/>
      <c r="AE769" s="1489"/>
      <c r="AF769" s="1489"/>
      <c r="AG769" s="1490"/>
      <c r="AH769" s="1625"/>
      <c r="AI769" s="1626"/>
      <c r="AJ769" s="1626"/>
      <c r="AK769" s="1626"/>
      <c r="AL769" s="16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8"/>
      <c r="K770" s="1489"/>
      <c r="L770" s="1489"/>
      <c r="M770" s="1489"/>
      <c r="N770" s="1490"/>
      <c r="O770" s="1701"/>
      <c r="P770" s="1701"/>
      <c r="Q770" s="1701"/>
      <c r="R770" s="1701"/>
      <c r="S770" s="1701"/>
      <c r="T770" s="1506"/>
      <c r="U770" s="1507"/>
      <c r="V770" s="1507"/>
      <c r="W770" s="1508"/>
      <c r="X770" s="1488"/>
      <c r="Y770" s="1489"/>
      <c r="Z770" s="1489"/>
      <c r="AA770" s="1489"/>
      <c r="AB770" s="1490"/>
      <c r="AC770" s="1488"/>
      <c r="AD770" s="1489"/>
      <c r="AE770" s="1489"/>
      <c r="AF770" s="1489"/>
      <c r="AG770" s="1490"/>
      <c r="AH770" s="1625"/>
      <c r="AI770" s="1626"/>
      <c r="AJ770" s="1626"/>
      <c r="AK770" s="1626"/>
      <c r="AL770" s="16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1"/>
      <c r="K771" s="1492"/>
      <c r="L771" s="1492"/>
      <c r="M771" s="1492"/>
      <c r="N771" s="1493"/>
      <c r="O771" s="1701"/>
      <c r="P771" s="1701"/>
      <c r="Q771" s="1701"/>
      <c r="R771" s="1701"/>
      <c r="S771" s="1701"/>
      <c r="T771" s="1509"/>
      <c r="U771" s="1510"/>
      <c r="V771" s="1510"/>
      <c r="W771" s="1511"/>
      <c r="X771" s="1491"/>
      <c r="Y771" s="1492"/>
      <c r="Z771" s="1492"/>
      <c r="AA771" s="1492"/>
      <c r="AB771" s="1493"/>
      <c r="AC771" s="1491"/>
      <c r="AD771" s="1492"/>
      <c r="AE771" s="1492"/>
      <c r="AF771" s="1492"/>
      <c r="AG771" s="1493"/>
      <c r="AH771" s="1625"/>
      <c r="AI771" s="1626"/>
      <c r="AJ771" s="1626"/>
      <c r="AK771" s="1626"/>
      <c r="AL771" s="16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9"/>
      <c r="U772" s="1480"/>
      <c r="V772" s="1480"/>
      <c r="W772" s="1481"/>
      <c r="X772" s="1476"/>
      <c r="Y772" s="1477"/>
      <c r="Z772" s="1477"/>
      <c r="AA772" s="1477"/>
      <c r="AB772" s="1478"/>
      <c r="AC772" s="1497">
        <f t="shared" ref="AC772:AC781" si="51">X772*O772</f>
        <v>0</v>
      </c>
      <c r="AD772" s="1498"/>
      <c r="AE772" s="1498"/>
      <c r="AF772" s="1498"/>
      <c r="AG772" s="1499"/>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9"/>
      <c r="U773" s="1480"/>
      <c r="V773" s="1480"/>
      <c r="W773" s="1481"/>
      <c r="X773" s="1476"/>
      <c r="Y773" s="1477"/>
      <c r="Z773" s="1477"/>
      <c r="AA773" s="1477"/>
      <c r="AB773" s="1478"/>
      <c r="AC773" s="1497">
        <f t="shared" si="51"/>
        <v>0</v>
      </c>
      <c r="AD773" s="1498"/>
      <c r="AE773" s="1498"/>
      <c r="AF773" s="1498"/>
      <c r="AG773" s="1499"/>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9"/>
      <c r="U774" s="1480"/>
      <c r="V774" s="1480"/>
      <c r="W774" s="1481"/>
      <c r="X774" s="1476"/>
      <c r="Y774" s="1477"/>
      <c r="Z774" s="1477"/>
      <c r="AA774" s="1477"/>
      <c r="AB774" s="1478"/>
      <c r="AC774" s="1497">
        <f t="shared" si="51"/>
        <v>0</v>
      </c>
      <c r="AD774" s="1498"/>
      <c r="AE774" s="1498"/>
      <c r="AF774" s="1498"/>
      <c r="AG774" s="1499"/>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9"/>
      <c r="U775" s="1480"/>
      <c r="V775" s="1480"/>
      <c r="W775" s="1481"/>
      <c r="X775" s="1476"/>
      <c r="Y775" s="1477"/>
      <c r="Z775" s="1477"/>
      <c r="AA775" s="1477"/>
      <c r="AB775" s="1478"/>
      <c r="AC775" s="1497">
        <f t="shared" si="51"/>
        <v>0</v>
      </c>
      <c r="AD775" s="1498"/>
      <c r="AE775" s="1498"/>
      <c r="AF775" s="1498"/>
      <c r="AG775" s="1499"/>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9"/>
      <c r="U776" s="1480"/>
      <c r="V776" s="1480"/>
      <c r="W776" s="1481"/>
      <c r="X776" s="1476"/>
      <c r="Y776" s="1477"/>
      <c r="Z776" s="1477"/>
      <c r="AA776" s="1477"/>
      <c r="AB776" s="1478"/>
      <c r="AC776" s="1497">
        <f t="shared" si="51"/>
        <v>0</v>
      </c>
      <c r="AD776" s="1498"/>
      <c r="AE776" s="1498"/>
      <c r="AF776" s="1498"/>
      <c r="AG776" s="1499"/>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9"/>
      <c r="U777" s="1480"/>
      <c r="V777" s="1480"/>
      <c r="W777" s="1481"/>
      <c r="X777" s="1476"/>
      <c r="Y777" s="1477"/>
      <c r="Z777" s="1477"/>
      <c r="AA777" s="1477"/>
      <c r="AB777" s="1478"/>
      <c r="AC777" s="1497">
        <f t="shared" si="51"/>
        <v>0</v>
      </c>
      <c r="AD777" s="1498"/>
      <c r="AE777" s="1498"/>
      <c r="AF777" s="1498"/>
      <c r="AG777" s="1499"/>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9"/>
      <c r="U778" s="1480"/>
      <c r="V778" s="1480"/>
      <c r="W778" s="1481"/>
      <c r="X778" s="1476"/>
      <c r="Y778" s="1477"/>
      <c r="Z778" s="1477"/>
      <c r="AA778" s="1477"/>
      <c r="AB778" s="1478"/>
      <c r="AC778" s="1497">
        <f t="shared" si="51"/>
        <v>0</v>
      </c>
      <c r="AD778" s="1498"/>
      <c r="AE778" s="1498"/>
      <c r="AF778" s="1498"/>
      <c r="AG778" s="1499"/>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9"/>
      <c r="U779" s="1480"/>
      <c r="V779" s="1480"/>
      <c r="W779" s="1481"/>
      <c r="X779" s="1476"/>
      <c r="Y779" s="1477"/>
      <c r="Z779" s="1477"/>
      <c r="AA779" s="1477"/>
      <c r="AB779" s="1478"/>
      <c r="AC779" s="1497">
        <f t="shared" si="51"/>
        <v>0</v>
      </c>
      <c r="AD779" s="1498"/>
      <c r="AE779" s="1498"/>
      <c r="AF779" s="1498"/>
      <c r="AG779" s="1499"/>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9"/>
      <c r="U780" s="1480"/>
      <c r="V780" s="1480"/>
      <c r="W780" s="1481"/>
      <c r="X780" s="1476"/>
      <c r="Y780" s="1477"/>
      <c r="Z780" s="1477"/>
      <c r="AA780" s="1477"/>
      <c r="AB780" s="1478"/>
      <c r="AC780" s="1497">
        <f t="shared" si="51"/>
        <v>0</v>
      </c>
      <c r="AD780" s="1498"/>
      <c r="AE780" s="1498"/>
      <c r="AF780" s="1498"/>
      <c r="AG780" s="1499"/>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9"/>
      <c r="U781" s="1480"/>
      <c r="V781" s="1480"/>
      <c r="W781" s="1481"/>
      <c r="X781" s="1476"/>
      <c r="Y781" s="1477"/>
      <c r="Z781" s="1477"/>
      <c r="AA781" s="1477"/>
      <c r="AB781" s="1478"/>
      <c r="AC781" s="1497">
        <f t="shared" si="51"/>
        <v>0</v>
      </c>
      <c r="AD781" s="1498"/>
      <c r="AE781" s="1498"/>
      <c r="AF781" s="1498"/>
      <c r="AG781" s="1499"/>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2" t="s">
        <v>126</v>
      </c>
      <c r="K782" s="1523"/>
      <c r="L782" s="1523"/>
      <c r="M782" s="1523"/>
      <c r="N782" s="1525"/>
      <c r="O782" s="1713">
        <f>SUM(O772:S781)</f>
        <v>0</v>
      </c>
      <c r="P782" s="1713"/>
      <c r="Q782" s="1713"/>
      <c r="R782" s="1713"/>
      <c r="S782" s="1713"/>
      <c r="X782" s="939" t="s">
        <v>125</v>
      </c>
      <c r="Y782" s="11"/>
      <c r="Z782" s="11"/>
      <c r="AA782" s="11"/>
      <c r="AB782" s="946"/>
      <c r="AC782" s="1497">
        <f>SUM(AC772:AG781)</f>
        <v>0</v>
      </c>
      <c r="AD782" s="1498"/>
      <c r="AE782" s="1498"/>
      <c r="AF782" s="1498"/>
      <c r="AG782" s="14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50">
        <f>O739+AC762+AC782</f>
        <v>51344.72</v>
      </c>
      <c r="Z784" s="1650"/>
      <c r="AA784" s="1650"/>
      <c r="AB784" s="1650"/>
      <c r="AC784" s="165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50">
        <f>(O739+AC762+AC782)*12</f>
        <v>616136.64</v>
      </c>
      <c r="Z785" s="1650"/>
      <c r="AA785" s="1650"/>
      <c r="AB785" s="1650"/>
      <c r="AC785" s="1650"/>
      <c r="AZ785" s="3"/>
      <c r="BA785" s="14" t="s">
        <v>642</v>
      </c>
      <c r="BB785" s="14"/>
      <c r="BC785" s="14"/>
      <c r="BD785" s="14"/>
      <c r="BE785" s="14"/>
      <c r="BF785" s="14"/>
      <c r="BG785" s="14"/>
      <c r="BH785" s="14"/>
      <c r="BI785" s="14"/>
      <c r="BJ785" s="14"/>
      <c r="BK785" s="14"/>
      <c r="BL785" s="14"/>
      <c r="BM785" s="14"/>
      <c r="BN785" s="1708" t="s">
        <v>479</v>
      </c>
      <c r="BO785" s="1709"/>
      <c r="BP785" s="3"/>
      <c r="BQ785" s="3"/>
      <c r="BR785" s="3"/>
      <c r="BS785" s="14" t="s">
        <v>644</v>
      </c>
      <c r="BT785" s="14"/>
      <c r="BU785" s="14"/>
      <c r="BV785" s="14"/>
      <c r="BW785" s="14"/>
      <c r="BX785" s="14"/>
      <c r="BY785" s="14"/>
      <c r="BZ785" s="14"/>
      <c r="CA785" s="14"/>
      <c r="CB785" s="1705" t="str">
        <f>T189</f>
        <v>Butte</v>
      </c>
      <c r="CC785" s="1706"/>
      <c r="CD785" s="1706"/>
      <c r="CE785" s="1706"/>
      <c r="CF785" s="1706"/>
      <c r="CG785" s="1706"/>
      <c r="CH785" s="170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81">
        <v>25</v>
      </c>
      <c r="AA790" s="1634"/>
      <c r="AB790" s="1634"/>
      <c r="AC790" s="1634"/>
      <c r="AD790" s="1634"/>
      <c r="AE790" s="1635"/>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3">
        <v>20</v>
      </c>
      <c r="AA791" s="1634"/>
      <c r="AB791" s="1634"/>
      <c r="AC791" s="1634"/>
      <c r="AD791" s="1634"/>
      <c r="AE791" s="163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30">
        <v>53053</v>
      </c>
      <c r="AA792" s="1598"/>
      <c r="AB792" s="1598"/>
      <c r="AC792" s="1598"/>
      <c r="AD792" s="1598"/>
      <c r="AE792" s="163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9">
        <f>'Subsidy Contract Calculation'!J30</f>
        <v>257484</v>
      </c>
      <c r="AA793" s="1520"/>
      <c r="AB793" s="1520"/>
      <c r="AC793" s="1520"/>
      <c r="AD793" s="1520"/>
      <c r="AE793" s="152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9">
        <v>0</v>
      </c>
      <c r="AA797" s="1610"/>
      <c r="AB797" s="1610"/>
      <c r="AC797" s="1610"/>
      <c r="AD797" s="1610"/>
      <c r="AE797" s="161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9"/>
      <c r="AA798" s="1610"/>
      <c r="AB798" s="1610"/>
      <c r="AC798" s="1610"/>
      <c r="AD798" s="1610"/>
      <c r="AE798" s="161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9"/>
      <c r="AA799" s="1610"/>
      <c r="AB799" s="1610"/>
      <c r="AC799" s="1610"/>
      <c r="AD799" s="1610"/>
      <c r="AE799" s="161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5" t="s">
        <v>290</v>
      </c>
      <c r="Q800" s="1616"/>
      <c r="R800" s="1616"/>
      <c r="S800" s="1616"/>
      <c r="T800" s="1616"/>
      <c r="U800" s="1616"/>
      <c r="V800" s="1616"/>
      <c r="W800" s="1616"/>
      <c r="X800" s="1616"/>
      <c r="Y800" s="1617"/>
      <c r="Z800" s="1609">
        <v>4200</v>
      </c>
      <c r="AA800" s="1610"/>
      <c r="AB800" s="1610"/>
      <c r="AC800" s="1610"/>
      <c r="AD800" s="1610"/>
      <c r="AE800" s="161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9">
        <f>SUM(Z797:AE800)</f>
        <v>4200</v>
      </c>
      <c r="AA801" s="1520"/>
      <c r="AB801" s="1520"/>
      <c r="AC801" s="1520"/>
      <c r="AD801" s="1520"/>
      <c r="AE801" s="152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9">
        <f>Z801+Y785+Z793</f>
        <v>877820.64</v>
      </c>
      <c r="AA802" s="1520"/>
      <c r="AB802" s="1520"/>
      <c r="AC802" s="1520"/>
      <c r="AD802" s="1520"/>
      <c r="AE802" s="152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2" t="s">
        <v>127</v>
      </c>
      <c r="N807" s="1592"/>
      <c r="O807" s="1592"/>
      <c r="P807" s="1593"/>
      <c r="Q807" s="1629" t="s">
        <v>292</v>
      </c>
      <c r="R807" s="1629"/>
      <c r="S807" s="1629"/>
      <c r="T807" s="1629"/>
      <c r="U807" s="1629" t="s">
        <v>293</v>
      </c>
      <c r="V807" s="1629"/>
      <c r="W807" s="1629"/>
      <c r="X807" s="1629"/>
      <c r="Y807" s="1629" t="s">
        <v>294</v>
      </c>
      <c r="Z807" s="1629"/>
      <c r="AA807" s="1629"/>
      <c r="AB807" s="1629"/>
      <c r="AC807" s="1629" t="s">
        <v>363</v>
      </c>
      <c r="AD807" s="1629"/>
      <c r="AE807" s="1629"/>
      <c r="AF807" s="1629"/>
      <c r="AG807" s="1642" t="s">
        <v>337</v>
      </c>
      <c r="AH807" s="1642"/>
      <c r="AI807" s="1642"/>
      <c r="AJ807" s="164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4"/>
      <c r="N808" s="1594"/>
      <c r="O808" s="1594"/>
      <c r="P808" s="1595"/>
      <c r="Q808" s="1629"/>
      <c r="R808" s="1629"/>
      <c r="S808" s="1629"/>
      <c r="T808" s="1629"/>
      <c r="U808" s="1629"/>
      <c r="V808" s="1629"/>
      <c r="W808" s="1629"/>
      <c r="X808" s="1629"/>
      <c r="Y808" s="1629"/>
      <c r="Z808" s="1629"/>
      <c r="AA808" s="1629"/>
      <c r="AB808" s="1629"/>
      <c r="AC808" s="1629"/>
      <c r="AD808" s="1629"/>
      <c r="AE808" s="1629"/>
      <c r="AF808" s="1629"/>
      <c r="AG808" s="1642"/>
      <c r="AH808" s="1642"/>
      <c r="AI808" s="1642"/>
      <c r="AJ808" s="164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6" t="s">
        <v>40</v>
      </c>
      <c r="D809" s="1517"/>
      <c r="E809" s="1517"/>
      <c r="F809" s="1517"/>
      <c r="G809" s="1517"/>
      <c r="H809" s="1517"/>
      <c r="I809" s="48"/>
      <c r="J809" s="48"/>
      <c r="K809" s="48"/>
      <c r="L809" s="49"/>
      <c r="M809" s="1591"/>
      <c r="N809" s="1591"/>
      <c r="O809" s="1591"/>
      <c r="P809" s="1591"/>
      <c r="Q809" s="1591">
        <v>29</v>
      </c>
      <c r="R809" s="1591"/>
      <c r="S809" s="1591"/>
      <c r="T809" s="1591"/>
      <c r="U809" s="1591">
        <v>38</v>
      </c>
      <c r="V809" s="1591"/>
      <c r="W809" s="1591"/>
      <c r="X809" s="1591"/>
      <c r="Y809" s="1591">
        <v>43</v>
      </c>
      <c r="Z809" s="1591"/>
      <c r="AA809" s="1591"/>
      <c r="AB809" s="1591"/>
      <c r="AC809" s="1588"/>
      <c r="AD809" s="1589"/>
      <c r="AE809" s="1589"/>
      <c r="AF809" s="1590"/>
      <c r="AG809" s="1588"/>
      <c r="AH809" s="1589"/>
      <c r="AI809" s="1589"/>
      <c r="AJ809" s="159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91"/>
      <c r="N810" s="1591"/>
      <c r="O810" s="1591"/>
      <c r="P810" s="1591"/>
      <c r="Q810" s="1591"/>
      <c r="R810" s="1591"/>
      <c r="S810" s="1591"/>
      <c r="T810" s="1591"/>
      <c r="U810" s="1591"/>
      <c r="V810" s="1591"/>
      <c r="W810" s="1591"/>
      <c r="X810" s="1591"/>
      <c r="Y810" s="1591"/>
      <c r="Z810" s="1591"/>
      <c r="AA810" s="1591"/>
      <c r="AB810" s="1591"/>
      <c r="AC810" s="1588"/>
      <c r="AD810" s="1589"/>
      <c r="AE810" s="1589"/>
      <c r="AF810" s="1590"/>
      <c r="AG810" s="1588"/>
      <c r="AH810" s="1589"/>
      <c r="AI810" s="1589"/>
      <c r="AJ810" s="159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91"/>
      <c r="N811" s="1591"/>
      <c r="O811" s="1591"/>
      <c r="P811" s="1591"/>
      <c r="Q811" s="1591">
        <v>17</v>
      </c>
      <c r="R811" s="1591"/>
      <c r="S811" s="1591"/>
      <c r="T811" s="1591"/>
      <c r="U811" s="1591">
        <v>19</v>
      </c>
      <c r="V811" s="1591"/>
      <c r="W811" s="1591"/>
      <c r="X811" s="1591"/>
      <c r="Y811" s="1591">
        <v>22</v>
      </c>
      <c r="Z811" s="1591"/>
      <c r="AA811" s="1591"/>
      <c r="AB811" s="1591"/>
      <c r="AC811" s="1588"/>
      <c r="AD811" s="1589"/>
      <c r="AE811" s="1589"/>
      <c r="AF811" s="1590"/>
      <c r="AG811" s="1588"/>
      <c r="AH811" s="1589"/>
      <c r="AI811" s="1589"/>
      <c r="AJ811" s="159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91"/>
      <c r="N812" s="1591"/>
      <c r="O812" s="1591"/>
      <c r="P812" s="1591"/>
      <c r="Q812" s="1591"/>
      <c r="R812" s="1591"/>
      <c r="S812" s="1591"/>
      <c r="T812" s="1591"/>
      <c r="U812" s="1591"/>
      <c r="V812" s="1591"/>
      <c r="W812" s="1591"/>
      <c r="X812" s="1591"/>
      <c r="Y812" s="1591"/>
      <c r="Z812" s="1591"/>
      <c r="AA812" s="1591"/>
      <c r="AB812" s="1591"/>
      <c r="AC812" s="1588"/>
      <c r="AD812" s="1589"/>
      <c r="AE812" s="1589"/>
      <c r="AF812" s="1590"/>
      <c r="AG812" s="1588"/>
      <c r="AH812" s="1589"/>
      <c r="AI812" s="1589"/>
      <c r="AJ812" s="159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91"/>
      <c r="N813" s="1591"/>
      <c r="O813" s="1591"/>
      <c r="P813" s="1591"/>
      <c r="Q813" s="1591">
        <v>50</v>
      </c>
      <c r="R813" s="1591"/>
      <c r="S813" s="1591"/>
      <c r="T813" s="1591"/>
      <c r="U813" s="1591">
        <v>59</v>
      </c>
      <c r="V813" s="1591"/>
      <c r="W813" s="1591"/>
      <c r="X813" s="1591"/>
      <c r="Y813" s="1591">
        <v>72</v>
      </c>
      <c r="Z813" s="1591"/>
      <c r="AA813" s="1591"/>
      <c r="AB813" s="1591"/>
      <c r="AC813" s="1588"/>
      <c r="AD813" s="1589"/>
      <c r="AE813" s="1589"/>
      <c r="AF813" s="1590"/>
      <c r="AG813" s="1588"/>
      <c r="AH813" s="1589"/>
      <c r="AI813" s="1589"/>
      <c r="AJ813" s="159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34" t="s">
        <v>808</v>
      </c>
      <c r="D814" s="1423"/>
      <c r="E814" s="1423"/>
      <c r="F814" s="1423"/>
      <c r="G814" s="1423"/>
      <c r="H814" s="1423"/>
      <c r="I814" s="60"/>
      <c r="J814" s="60"/>
      <c r="K814" s="60"/>
      <c r="L814" s="61"/>
      <c r="M814" s="1591"/>
      <c r="N814" s="1591"/>
      <c r="O814" s="1591"/>
      <c r="P814" s="1591"/>
      <c r="Q814" s="1591"/>
      <c r="R814" s="1591"/>
      <c r="S814" s="1591"/>
      <c r="T814" s="1591"/>
      <c r="U814" s="1591"/>
      <c r="V814" s="1591"/>
      <c r="W814" s="1591"/>
      <c r="X814" s="1591"/>
      <c r="Y814" s="1591"/>
      <c r="Z814" s="1591"/>
      <c r="AA814" s="1591"/>
      <c r="AB814" s="1591"/>
      <c r="AC814" s="1588"/>
      <c r="AD814" s="1589"/>
      <c r="AE814" s="1589"/>
      <c r="AF814" s="1590"/>
      <c r="AG814" s="1588"/>
      <c r="AH814" s="1589"/>
      <c r="AI814" s="1589"/>
      <c r="AJ814" s="159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5" t="s">
        <v>2709</v>
      </c>
      <c r="G815" s="1616"/>
      <c r="H815" s="1616"/>
      <c r="I815" s="1616"/>
      <c r="J815" s="1616"/>
      <c r="K815" s="1616"/>
      <c r="L815" s="1616"/>
      <c r="M815" s="1591"/>
      <c r="N815" s="1591"/>
      <c r="O815" s="1591"/>
      <c r="P815" s="1591"/>
      <c r="Q815" s="1591">
        <f>15+10</f>
        <v>25</v>
      </c>
      <c r="R815" s="1591"/>
      <c r="S815" s="1591"/>
      <c r="T815" s="1591"/>
      <c r="U815" s="1591">
        <f>20+10</f>
        <v>30</v>
      </c>
      <c r="V815" s="1591"/>
      <c r="W815" s="1591"/>
      <c r="X815" s="1591"/>
      <c r="Y815" s="1591">
        <f>23+10</f>
        <v>33</v>
      </c>
      <c r="Z815" s="1591"/>
      <c r="AA815" s="1591"/>
      <c r="AB815" s="1591"/>
      <c r="AC815" s="1588"/>
      <c r="AD815" s="1589"/>
      <c r="AE815" s="1589"/>
      <c r="AF815" s="1590"/>
      <c r="AG815" s="1588"/>
      <c r="AH815" s="1589"/>
      <c r="AI815" s="1589"/>
      <c r="AJ815" s="159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2" t="s">
        <v>125</v>
      </c>
      <c r="D816" s="1523"/>
      <c r="E816" s="1523"/>
      <c r="F816" s="1523"/>
      <c r="G816" s="1523"/>
      <c r="H816" s="1523"/>
      <c r="I816" s="1523"/>
      <c r="J816" s="1523"/>
      <c r="K816" s="1523"/>
      <c r="L816" s="1525"/>
      <c r="M816" s="1632">
        <f>SUM(M809:P815)</f>
        <v>0</v>
      </c>
      <c r="N816" s="1632"/>
      <c r="O816" s="1632"/>
      <c r="P816" s="1632"/>
      <c r="Q816" s="1632">
        <f>SUM(Q809:T815)</f>
        <v>121</v>
      </c>
      <c r="R816" s="1632"/>
      <c r="S816" s="1632"/>
      <c r="T816" s="1632"/>
      <c r="U816" s="1632">
        <f>SUM(U809:X815)</f>
        <v>146</v>
      </c>
      <c r="V816" s="1632"/>
      <c r="W816" s="1632"/>
      <c r="X816" s="1632"/>
      <c r="Y816" s="1632">
        <f>SUM(Y809:AB815)</f>
        <v>170</v>
      </c>
      <c r="Z816" s="1632"/>
      <c r="AA816" s="1632"/>
      <c r="AB816" s="1632"/>
      <c r="AC816" s="1632">
        <f>SUM(AC809:AF815)</f>
        <v>0</v>
      </c>
      <c r="AD816" s="1632"/>
      <c r="AE816" s="1632"/>
      <c r="AF816" s="1632"/>
      <c r="AG816" s="1632">
        <f>SUM(AG809:AJ815)</f>
        <v>0</v>
      </c>
      <c r="AH816" s="1632"/>
      <c r="AI816" s="1632"/>
      <c r="AJ816" s="163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8" t="s">
        <v>2710</v>
      </c>
      <c r="D821" s="1689"/>
      <c r="E821" s="1689"/>
      <c r="F821" s="1689"/>
      <c r="G821" s="1689"/>
      <c r="H821" s="1689"/>
      <c r="I821" s="1689"/>
      <c r="J821" s="1689"/>
      <c r="K821" s="1689"/>
      <c r="L821" s="1689"/>
      <c r="M821" s="1689"/>
      <c r="N821" s="1689"/>
      <c r="O821" s="1689"/>
      <c r="P821" s="1689"/>
      <c r="Q821" s="1689"/>
      <c r="R821" s="1689"/>
      <c r="S821" s="1689"/>
      <c r="T821" s="1689"/>
      <c r="U821" s="1689"/>
      <c r="V821" s="1689"/>
      <c r="W821" s="1689"/>
      <c r="X821" s="1689"/>
      <c r="Y821" s="1689"/>
      <c r="Z821" s="1689"/>
      <c r="AA821" s="1689"/>
      <c r="AB821" s="1689"/>
      <c r="AC821" s="1689"/>
      <c r="AD821" s="1689"/>
      <c r="AE821" s="1689"/>
      <c r="AF821" s="1689"/>
      <c r="AG821" s="1689"/>
      <c r="AH821" s="1689"/>
      <c r="AI821" s="1689"/>
      <c r="AJ821" s="169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1">
        <v>3833</v>
      </c>
      <c r="X826" s="1621"/>
      <c r="Y826" s="1621"/>
      <c r="Z826" s="1621"/>
      <c r="AA826" s="1621"/>
      <c r="AB826" s="1621"/>
      <c r="AC826" s="162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1">
        <v>2500</v>
      </c>
      <c r="X827" s="1621"/>
      <c r="Y827" s="1621"/>
      <c r="Z827" s="1621"/>
      <c r="AA827" s="1621"/>
      <c r="AB827" s="1621"/>
      <c r="AC827" s="162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1">
        <v>11000</v>
      </c>
      <c r="X828" s="1621"/>
      <c r="Y828" s="1621"/>
      <c r="Z828" s="1621"/>
      <c r="AA828" s="1621"/>
      <c r="AB828" s="1621"/>
      <c r="AC828" s="162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1">
        <v>162</v>
      </c>
      <c r="X829" s="1621"/>
      <c r="Y829" s="1621"/>
      <c r="Z829" s="1621"/>
      <c r="AA829" s="1621"/>
      <c r="AB829" s="1621"/>
      <c r="AC829" s="162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5" t="s">
        <v>2721</v>
      </c>
      <c r="N830" s="1616"/>
      <c r="O830" s="1616"/>
      <c r="P830" s="1616"/>
      <c r="Q830" s="1616"/>
      <c r="R830" s="1616"/>
      <c r="S830" s="1616"/>
      <c r="T830" s="1616"/>
      <c r="U830" s="1616"/>
      <c r="V830" s="1617"/>
      <c r="W830" s="1621">
        <v>18275</v>
      </c>
      <c r="X830" s="1621"/>
      <c r="Y830" s="1621"/>
      <c r="Z830" s="1621"/>
      <c r="AA830" s="1621"/>
      <c r="AB830" s="1621"/>
      <c r="AC830" s="1621"/>
      <c r="AD830"/>
      <c r="AE830"/>
      <c r="AF830"/>
      <c r="AG830"/>
      <c r="AH830"/>
      <c r="AI830"/>
      <c r="AJ830"/>
      <c r="AK830"/>
      <c r="AL830"/>
      <c r="AM830"/>
      <c r="AN830"/>
      <c r="AO830"/>
      <c r="AP830"/>
      <c r="AQ830"/>
      <c r="AR830"/>
      <c r="AS830"/>
      <c r="AT830"/>
      <c r="AU830"/>
      <c r="AV830"/>
      <c r="AW830"/>
      <c r="AX830"/>
      <c r="AY830"/>
      <c r="BI830" s="1649">
        <f>ROUNDDOWN(BC918*2,2)</f>
        <v>0</v>
      </c>
      <c r="BJ830" s="1649"/>
      <c r="BK830" s="1649"/>
      <c r="BL830" s="1649"/>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9">
        <f>SUM(W826:AC830)</f>
        <v>35770</v>
      </c>
      <c r="X831" s="1520"/>
      <c r="Y831" s="1520"/>
      <c r="Z831" s="1520"/>
      <c r="AA831" s="1520"/>
      <c r="AB831" s="1520"/>
      <c r="AC831" s="152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2" t="s">
        <v>347</v>
      </c>
      <c r="K833" s="1523"/>
      <c r="L833" s="1523"/>
      <c r="M833" s="1523"/>
      <c r="N833" s="1523"/>
      <c r="O833" s="1523"/>
      <c r="P833" s="1523"/>
      <c r="Q833" s="1523"/>
      <c r="R833" s="1523"/>
      <c r="S833" s="1523"/>
      <c r="T833" s="1523"/>
      <c r="U833" s="1523"/>
      <c r="V833" s="1525"/>
      <c r="W833" s="1609">
        <v>37800</v>
      </c>
      <c r="X833" s="1610"/>
      <c r="Y833" s="1610"/>
      <c r="Z833" s="1610"/>
      <c r="AA833" s="1610"/>
      <c r="AB833" s="1610"/>
      <c r="AC833" s="1611"/>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8"/>
      <c r="X835" s="1618"/>
      <c r="Y835" s="1618"/>
      <c r="Z835" s="1618"/>
      <c r="AA835" s="1618"/>
      <c r="AB835" s="1618"/>
      <c r="AC835" s="1618"/>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8"/>
      <c r="X836" s="1618"/>
      <c r="Y836" s="1618"/>
      <c r="Z836" s="1618"/>
      <c r="AA836" s="1618"/>
      <c r="AB836" s="1618"/>
      <c r="AC836" s="1618"/>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8">
        <v>18211</v>
      </c>
      <c r="X837" s="1618"/>
      <c r="Y837" s="1618"/>
      <c r="Z837" s="1618"/>
      <c r="AA837" s="1618"/>
      <c r="AB837" s="1618"/>
      <c r="AC837" s="1618"/>
      <c r="AD837"/>
      <c r="AE837"/>
      <c r="AF837"/>
      <c r="AG837"/>
      <c r="AH837"/>
      <c r="AI837"/>
      <c r="AJ837"/>
      <c r="AK837"/>
      <c r="AL837"/>
      <c r="AM837"/>
      <c r="AN837"/>
      <c r="AO837"/>
      <c r="AP837"/>
      <c r="AQ837"/>
      <c r="AR837"/>
      <c r="AS837"/>
      <c r="AT837"/>
      <c r="AU837"/>
      <c r="AV837"/>
      <c r="AW837"/>
      <c r="AX837"/>
      <c r="AY837"/>
      <c r="AZ837" s="30"/>
      <c r="BA837" s="30"/>
      <c r="BG837" s="1638"/>
      <c r="BH837" s="1638"/>
      <c r="BI837" s="1638"/>
      <c r="BJ837" s="1638"/>
      <c r="BK837" s="1638"/>
      <c r="BL837" s="1638"/>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8">
        <v>52709</v>
      </c>
      <c r="X838" s="1618"/>
      <c r="Y838" s="1618"/>
      <c r="Z838" s="1618"/>
      <c r="AA838" s="1618"/>
      <c r="AB838" s="1618"/>
      <c r="AC838" s="161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55">
        <f>SUM(W835:AC838)</f>
        <v>70920</v>
      </c>
      <c r="X839" s="1655"/>
      <c r="Y839" s="1655"/>
      <c r="Z839" s="1655"/>
      <c r="AA839" s="1655"/>
      <c r="AB839" s="1655"/>
      <c r="AC839" s="165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1">
        <f>SUM(AZ807:AZ835)</f>
        <v>0</v>
      </c>
      <c r="BA840" s="1651"/>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3">
        <v>54080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95">
        <v>2</v>
      </c>
      <c r="U842" s="1533"/>
      <c r="V842" s="169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3">
        <v>52576</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95">
        <v>1</v>
      </c>
      <c r="U844" s="1533"/>
      <c r="V844" s="169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5" t="s">
        <v>2722</v>
      </c>
      <c r="N845" s="1616"/>
      <c r="O845" s="1616"/>
      <c r="P845" s="1616"/>
      <c r="Q845" s="1616"/>
      <c r="R845" s="1616"/>
      <c r="S845" s="1616"/>
      <c r="T845" s="1616"/>
      <c r="U845" s="1616"/>
      <c r="V845" s="1617"/>
      <c r="W845" s="1643">
        <v>25344</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52">
        <f>SUM(W841:AC845)</f>
        <v>132000</v>
      </c>
      <c r="X846" s="1653"/>
      <c r="Y846" s="1653"/>
      <c r="Z846" s="1653"/>
      <c r="AA846" s="1653"/>
      <c r="AB846" s="1653"/>
      <c r="AC846" s="165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3">
        <v>54800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1">
        <v>2250</v>
      </c>
      <c r="X849" s="1621"/>
      <c r="Y849" s="1621"/>
      <c r="Z849" s="1621"/>
      <c r="AA849" s="1621"/>
      <c r="AB849" s="1621"/>
      <c r="AC849" s="162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1">
        <v>17290</v>
      </c>
      <c r="X850" s="1621"/>
      <c r="Y850" s="1621"/>
      <c r="Z850" s="1621"/>
      <c r="AA850" s="1621"/>
      <c r="AB850" s="1621"/>
      <c r="AC850" s="162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1">
        <v>14080</v>
      </c>
      <c r="X851" s="1621"/>
      <c r="Y851" s="1621"/>
      <c r="Z851" s="1621"/>
      <c r="AA851" s="1621"/>
      <c r="AB851" s="1621"/>
      <c r="AC851" s="162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1">
        <v>4809</v>
      </c>
      <c r="X852" s="1621"/>
      <c r="Y852" s="1621"/>
      <c r="Z852" s="1621"/>
      <c r="AA852" s="1621"/>
      <c r="AB852" s="1621"/>
      <c r="AC852" s="162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1">
        <v>25800</v>
      </c>
      <c r="X853" s="1621"/>
      <c r="Y853" s="1621"/>
      <c r="Z853" s="1621"/>
      <c r="AA853" s="1621"/>
      <c r="AB853" s="1621"/>
      <c r="AC853" s="162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1"/>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5" t="s">
        <v>2723</v>
      </c>
      <c r="N855" s="1616"/>
      <c r="O855" s="1616"/>
      <c r="P855" s="1616"/>
      <c r="Q855" s="1616"/>
      <c r="R855" s="1616"/>
      <c r="S855" s="1616"/>
      <c r="T855" s="1616"/>
      <c r="U855" s="1616"/>
      <c r="V855" s="1617"/>
      <c r="W855" s="1621">
        <v>12851</v>
      </c>
      <c r="X855" s="1621"/>
      <c r="Y855" s="1621"/>
      <c r="Z855" s="1621"/>
      <c r="AA855" s="1621"/>
      <c r="AB855" s="1621"/>
      <c r="AC855" s="162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50">
        <f>SUM(W849:AC855)</f>
        <v>77080</v>
      </c>
      <c r="X856" s="1650"/>
      <c r="Y856" s="1650"/>
      <c r="Z856" s="1650"/>
      <c r="AA856" s="1650"/>
      <c r="AB856" s="1650"/>
      <c r="AC856" s="165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15" t="s">
        <v>336</v>
      </c>
      <c r="N858" s="1616"/>
      <c r="O858" s="1616"/>
      <c r="P858" s="1616"/>
      <c r="Q858" s="1616"/>
      <c r="R858" s="1616"/>
      <c r="S858" s="1616"/>
      <c r="T858" s="1616"/>
      <c r="U858" s="1616"/>
      <c r="V858" s="1617"/>
      <c r="W858" s="1609"/>
      <c r="X858" s="1610"/>
      <c r="Y858" s="1610"/>
      <c r="Z858" s="1610"/>
      <c r="AA858" s="1610"/>
      <c r="AB858" s="1610"/>
      <c r="AC858" s="161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15" t="s">
        <v>336</v>
      </c>
      <c r="N859" s="1616"/>
      <c r="O859" s="1616"/>
      <c r="P859" s="1616"/>
      <c r="Q859" s="1616"/>
      <c r="R859" s="1616"/>
      <c r="S859" s="1616"/>
      <c r="T859" s="1616"/>
      <c r="U859" s="1616"/>
      <c r="V859" s="1617"/>
      <c r="W859" s="1609"/>
      <c r="X859" s="1610"/>
      <c r="Y859" s="1610"/>
      <c r="Z859" s="1610"/>
      <c r="AA859" s="1610"/>
      <c r="AB859" s="1610"/>
      <c r="AC859" s="161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5" t="s">
        <v>336</v>
      </c>
      <c r="N860" s="1616"/>
      <c r="O860" s="1616"/>
      <c r="P860" s="1616"/>
      <c r="Q860" s="1616"/>
      <c r="R860" s="1616"/>
      <c r="S860" s="1616"/>
      <c r="T860" s="1616"/>
      <c r="U860" s="1616"/>
      <c r="V860" s="1617"/>
      <c r="W860" s="1609"/>
      <c r="X860" s="1610"/>
      <c r="Y860" s="1610"/>
      <c r="Z860" s="1610"/>
      <c r="AA860" s="1610"/>
      <c r="AB860" s="1610"/>
      <c r="AC860" s="161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5" t="s">
        <v>336</v>
      </c>
      <c r="N861" s="1616"/>
      <c r="O861" s="1616"/>
      <c r="P861" s="1616"/>
      <c r="Q861" s="1616"/>
      <c r="R861" s="1616"/>
      <c r="S861" s="1616"/>
      <c r="T861" s="1616"/>
      <c r="U861" s="1616"/>
      <c r="V861" s="1617"/>
      <c r="W861" s="1609"/>
      <c r="X861" s="1610"/>
      <c r="Y861" s="1610"/>
      <c r="Z861" s="1610"/>
      <c r="AA861" s="1610"/>
      <c r="AB861" s="1610"/>
      <c r="AC861" s="161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5" t="s">
        <v>336</v>
      </c>
      <c r="N862" s="1616"/>
      <c r="O862" s="1616"/>
      <c r="P862" s="1616"/>
      <c r="Q862" s="1616"/>
      <c r="R862" s="1616"/>
      <c r="S862" s="1616"/>
      <c r="T862" s="1616"/>
      <c r="U862" s="1616"/>
      <c r="V862" s="1617"/>
      <c r="W862" s="1609"/>
      <c r="X862" s="1610"/>
      <c r="Y862" s="1610"/>
      <c r="Z862" s="1610"/>
      <c r="AA862" s="1610"/>
      <c r="AB862" s="1610"/>
      <c r="AC862" s="161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9">
        <f>SUM(W858:AC862)</f>
        <v>0</v>
      </c>
      <c r="X863" s="1520"/>
      <c r="Y863" s="1520"/>
      <c r="Z863" s="1520"/>
      <c r="AA863" s="1520"/>
      <c r="AB863" s="1520"/>
      <c r="AC863" s="152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0">
        <f>W831+W839+W846+W847+W856+W863+W833</f>
        <v>408370</v>
      </c>
      <c r="AD867" s="1520"/>
      <c r="AE867" s="1520"/>
      <c r="AF867" s="1520"/>
      <c r="AG867" s="1520"/>
      <c r="AH867" s="152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3">
        <f>O782+O762+G739</f>
        <v>70</v>
      </c>
      <c r="AD868" s="1693"/>
      <c r="AE868" s="1693"/>
      <c r="AF868" s="1693"/>
      <c r="AG868" s="1693"/>
      <c r="AH868" s="169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1" t="s">
        <v>32</v>
      </c>
      <c r="F869" s="1691"/>
      <c r="G869" s="1691"/>
      <c r="H869" s="1691"/>
      <c r="I869" s="1691"/>
      <c r="J869" s="1691"/>
      <c r="K869" s="1691"/>
      <c r="L869" s="1691"/>
      <c r="M869" s="1691"/>
      <c r="N869" s="1691"/>
      <c r="O869" s="1691"/>
      <c r="P869" s="1691"/>
      <c r="Q869" s="1691"/>
      <c r="R869" s="1691"/>
      <c r="S869" s="1691"/>
      <c r="T869" s="1691"/>
      <c r="U869" s="1691"/>
      <c r="V869" s="1691"/>
      <c r="W869" s="1691"/>
      <c r="X869" s="1691"/>
      <c r="Y869" s="1691"/>
      <c r="Z869" s="1691"/>
      <c r="AA869" s="1691"/>
      <c r="AB869" s="1692"/>
      <c r="AC869" s="1650">
        <f>IF(ISERROR((ROUNDDOWN(AC867/AC868,0))),0,(ROUNDDOWN(AC867/AC868,0)))</f>
        <v>5833</v>
      </c>
      <c r="AD869" s="1650"/>
      <c r="AE869" s="1650"/>
      <c r="AF869" s="1650"/>
      <c r="AG869" s="1650"/>
      <c r="AH869" s="165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9">
        <v>178970</v>
      </c>
      <c r="AD870" s="1620"/>
      <c r="AE870" s="1620"/>
      <c r="AF870" s="1620"/>
      <c r="AG870" s="1620"/>
      <c r="AH870" s="16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11"/>
      <c r="AD871" s="1621"/>
      <c r="AE871" s="1621"/>
      <c r="AF871" s="1621"/>
      <c r="AG871" s="1621"/>
      <c r="AH871" s="162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10">
        <v>19200</v>
      </c>
      <c r="AD872" s="1610"/>
      <c r="AE872" s="1610"/>
      <c r="AF872" s="1610"/>
      <c r="AG872" s="1610"/>
      <c r="AH872" s="161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0">
        <v>35000</v>
      </c>
      <c r="AD873" s="1610"/>
      <c r="AE873" s="1610"/>
      <c r="AF873" s="1610"/>
      <c r="AG873" s="1610"/>
      <c r="AH873" s="161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8"/>
      <c r="AD874" s="1589"/>
      <c r="AE874" s="1589"/>
      <c r="AF874" s="1589"/>
      <c r="AG874" s="1589"/>
      <c r="AH874" s="159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0">
        <v>7500</v>
      </c>
      <c r="AD875" s="1610"/>
      <c r="AE875" s="1610"/>
      <c r="AF875" s="1610"/>
      <c r="AG875" s="1610"/>
      <c r="AH875" s="161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10"/>
      <c r="AD876" s="1610"/>
      <c r="AE876" s="1610"/>
      <c r="AF876" s="1610"/>
      <c r="AG876" s="1610"/>
      <c r="AH876" s="161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9" t="s">
        <v>2724</v>
      </c>
      <c r="D877" s="1640"/>
      <c r="E877" s="1640"/>
      <c r="F877" s="1640"/>
      <c r="G877" s="1640"/>
      <c r="H877" s="1640"/>
      <c r="I877" s="1640"/>
      <c r="J877" s="1640"/>
      <c r="K877" s="1640"/>
      <c r="L877" s="1640"/>
      <c r="M877" s="1640"/>
      <c r="N877" s="1640"/>
      <c r="O877" s="1640"/>
      <c r="P877" s="1640"/>
      <c r="Q877" s="1640"/>
      <c r="R877" s="1640"/>
      <c r="S877" s="1640"/>
      <c r="T877" s="1640"/>
      <c r="U877" s="1640"/>
      <c r="V877" s="1640"/>
      <c r="W877" s="1640"/>
      <c r="X877" s="1640"/>
      <c r="Y877" s="1640"/>
      <c r="Z877" s="1640"/>
      <c r="AA877" s="1640"/>
      <c r="AB877" s="1641"/>
      <c r="AC877" s="1621">
        <v>2500</v>
      </c>
      <c r="AD877" s="1621"/>
      <c r="AE877" s="1621"/>
      <c r="AF877" s="1621"/>
      <c r="AG877" s="1621"/>
      <c r="AH877" s="162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9" t="s">
        <v>2725</v>
      </c>
      <c r="D878" s="1640"/>
      <c r="E878" s="1640"/>
      <c r="F878" s="1640"/>
      <c r="G878" s="1640"/>
      <c r="H878" s="1640"/>
      <c r="I878" s="1640"/>
      <c r="J878" s="1640"/>
      <c r="K878" s="1640"/>
      <c r="L878" s="1640"/>
      <c r="M878" s="1640"/>
      <c r="N878" s="1640"/>
      <c r="O878" s="1640"/>
      <c r="P878" s="1640"/>
      <c r="Q878" s="1640"/>
      <c r="R878" s="1640"/>
      <c r="S878" s="1640"/>
      <c r="T878" s="1640"/>
      <c r="U878" s="1640"/>
      <c r="V878" s="1640"/>
      <c r="W878" s="1640"/>
      <c r="X878" s="1640"/>
      <c r="Y878" s="1640"/>
      <c r="Z878" s="1640"/>
      <c r="AA878" s="1640"/>
      <c r="AB878" s="1641"/>
      <c r="AC878" s="1621">
        <v>4000</v>
      </c>
      <c r="AD878" s="1621"/>
      <c r="AE878" s="1621"/>
      <c r="AF878" s="1621"/>
      <c r="AG878" s="1621"/>
      <c r="AH878" s="162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9"/>
      <c r="AA882" s="1610"/>
      <c r="AB882" s="1610"/>
      <c r="AC882" s="1610"/>
      <c r="AD882" s="1610"/>
      <c r="AE882" s="161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9"/>
      <c r="AA883" s="1610"/>
      <c r="AB883" s="1610"/>
      <c r="AC883" s="1610"/>
      <c r="AD883" s="1610"/>
      <c r="AE883" s="161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9"/>
      <c r="AA884" s="1610"/>
      <c r="AB884" s="1610"/>
      <c r="AC884" s="1610"/>
      <c r="AD884" s="1610"/>
      <c r="AE884" s="161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9">
        <f>Z882-(Z883+Z884)</f>
        <v>0</v>
      </c>
      <c r="AA885" s="1520"/>
      <c r="AB885" s="1520"/>
      <c r="AC885" s="1520"/>
      <c r="AD885" s="1520"/>
      <c r="AE885" s="152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7"/>
      <c r="BE887" s="163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7"/>
      <c r="BE888" s="163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8"/>
      <c r="BE889" s="163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8"/>
      <c r="BE890" s="163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8"/>
      <c r="BE891" s="163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37"/>
      <c r="BE892" s="163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36"/>
      <c r="BE893" s="1636"/>
      <c r="BF893" s="163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49"/>
      <c r="BE894" s="1649"/>
      <c r="BF894" s="1649"/>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8"/>
      <c r="BE895" s="163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7"/>
      <c r="BE896" s="163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9" t="s">
        <v>817</v>
      </c>
      <c r="G898" s="1820"/>
      <c r="H898" s="1820"/>
      <c r="I898" s="1820"/>
      <c r="J898" s="1820"/>
      <c r="K898" s="1820"/>
      <c r="L898" s="1820"/>
      <c r="M898" s="1820"/>
      <c r="N898" s="1820"/>
      <c r="O898" s="1820"/>
      <c r="P898" s="1820"/>
      <c r="Q898" s="1820"/>
      <c r="R898" s="1820"/>
      <c r="S898" s="1820"/>
      <c r="T898" s="1821"/>
      <c r="U898" s="1815" t="s">
        <v>31</v>
      </c>
      <c r="V898" s="1592"/>
      <c r="W898" s="1592"/>
      <c r="X898" s="1592"/>
      <c r="Y898" s="1592"/>
      <c r="Z898" s="1592"/>
      <c r="AA898" s="43"/>
      <c r="AB898" s="105"/>
      <c r="AC898" s="105"/>
      <c r="AD898" s="105"/>
      <c r="AE898" s="105"/>
      <c r="AF898" s="106"/>
      <c r="AZ898" s="34"/>
      <c r="BA898" s="34"/>
      <c r="BB898" s="30"/>
      <c r="BC898" s="30"/>
      <c r="BD898" s="1637"/>
      <c r="BE898" s="163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71" t="s">
        <v>845</v>
      </c>
      <c r="G899" s="1672"/>
      <c r="H899" s="1672"/>
      <c r="I899" s="1672"/>
      <c r="J899" s="1672"/>
      <c r="K899" s="1672"/>
      <c r="L899" s="1672"/>
      <c r="M899" s="1672"/>
      <c r="N899" s="1672"/>
      <c r="O899" s="1672"/>
      <c r="P899" s="1672"/>
      <c r="Q899" s="1672"/>
      <c r="R899" s="1672"/>
      <c r="S899" s="1672"/>
      <c r="T899" s="1673"/>
      <c r="U899" s="1671"/>
      <c r="V899" s="1672"/>
      <c r="W899" s="1672"/>
      <c r="X899" s="1672"/>
      <c r="Y899" s="1672"/>
      <c r="Z899" s="167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74"/>
      <c r="G900" s="1594"/>
      <c r="H900" s="1594"/>
      <c r="I900" s="1594"/>
      <c r="J900" s="1594"/>
      <c r="K900" s="1594"/>
      <c r="L900" s="1594"/>
      <c r="M900" s="1594"/>
      <c r="N900" s="1594"/>
      <c r="O900" s="1594"/>
      <c r="P900" s="1594"/>
      <c r="Q900" s="1594"/>
      <c r="R900" s="1594"/>
      <c r="S900" s="1594"/>
      <c r="T900" s="1595"/>
      <c r="U900" s="1674"/>
      <c r="V900" s="1594"/>
      <c r="W900" s="1594"/>
      <c r="X900" s="1594"/>
      <c r="Y900" s="1594"/>
      <c r="Z900" s="1594"/>
      <c r="AA900" s="108"/>
      <c r="AB900" s="1452" t="s">
        <v>393</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60" t="s">
        <v>555</v>
      </c>
      <c r="V901" s="1355"/>
      <c r="W901" s="1355"/>
      <c r="X901" s="1355"/>
      <c r="Y901" s="1355"/>
      <c r="Z901" s="1356"/>
      <c r="AA901" s="1656">
        <v>25000000</v>
      </c>
      <c r="AB901" s="1439"/>
      <c r="AC901" s="1439"/>
      <c r="AD901" s="1439"/>
      <c r="AE901" s="1439"/>
      <c r="AF901" s="165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60" t="s">
        <v>555</v>
      </c>
      <c r="V902" s="1355"/>
      <c r="W902" s="1355"/>
      <c r="X902" s="1355"/>
      <c r="Y902" s="1355"/>
      <c r="Z902" s="1356"/>
      <c r="AA902" s="1656">
        <v>17500000</v>
      </c>
      <c r="AB902" s="1439"/>
      <c r="AC902" s="1439"/>
      <c r="AD902" s="1439"/>
      <c r="AE902" s="1439"/>
      <c r="AF902" s="165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60" t="s">
        <v>601</v>
      </c>
      <c r="V903" s="1355"/>
      <c r="W903" s="1355"/>
      <c r="X903" s="1355"/>
      <c r="Y903" s="1355"/>
      <c r="Z903" s="1356"/>
      <c r="AA903" s="1656"/>
      <c r="AB903" s="1439"/>
      <c r="AC903" s="1439"/>
      <c r="AD903" s="1439"/>
      <c r="AE903" s="1439"/>
      <c r="AF903" s="165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60" t="s">
        <v>601</v>
      </c>
      <c r="V904" s="1355"/>
      <c r="W904" s="1355"/>
      <c r="X904" s="1355"/>
      <c r="Y904" s="1355"/>
      <c r="Z904" s="1356"/>
      <c r="AA904" s="1656"/>
      <c r="AB904" s="1439"/>
      <c r="AC904" s="1439"/>
      <c r="AD904" s="1439"/>
      <c r="AE904" s="1439"/>
      <c r="AF904" s="165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60" t="s">
        <v>601</v>
      </c>
      <c r="V905" s="1355"/>
      <c r="W905" s="1355"/>
      <c r="X905" s="1355"/>
      <c r="Y905" s="1355"/>
      <c r="Z905" s="1356"/>
      <c r="AA905" s="1656"/>
      <c r="AB905" s="1439"/>
      <c r="AC905" s="1439"/>
      <c r="AD905" s="1439"/>
      <c r="AE905" s="1439"/>
      <c r="AF905" s="165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60" t="s">
        <v>601</v>
      </c>
      <c r="V906" s="1355"/>
      <c r="W906" s="1355"/>
      <c r="X906" s="1355"/>
      <c r="Y906" s="1355"/>
      <c r="Z906" s="1356"/>
      <c r="AA906" s="1656"/>
      <c r="AB906" s="1439"/>
      <c r="AC906" s="1439"/>
      <c r="AD906" s="1439"/>
      <c r="AE906" s="1439"/>
      <c r="AF906" s="165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60" t="s">
        <v>601</v>
      </c>
      <c r="V907" s="1355"/>
      <c r="W907" s="1355"/>
      <c r="X907" s="1355"/>
      <c r="Y907" s="1355"/>
      <c r="Z907" s="1356"/>
      <c r="AA907" s="1656"/>
      <c r="AB907" s="1439"/>
      <c r="AC907" s="1439"/>
      <c r="AD907" s="1439"/>
      <c r="AE907" s="1439"/>
      <c r="AF907" s="165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60" t="s">
        <v>601</v>
      </c>
      <c r="V908" s="1355"/>
      <c r="W908" s="1355"/>
      <c r="X908" s="1355"/>
      <c r="Y908" s="1355"/>
      <c r="Z908" s="1356"/>
      <c r="AA908" s="1656"/>
      <c r="AB908" s="1439"/>
      <c r="AC908" s="1439"/>
      <c r="AD908" s="1439"/>
      <c r="AE908" s="1439"/>
      <c r="AF908" s="165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60" t="s">
        <v>601</v>
      </c>
      <c r="V909" s="1355"/>
      <c r="W909" s="1355"/>
      <c r="X909" s="1355"/>
      <c r="Y909" s="1355"/>
      <c r="Z909" s="1356"/>
      <c r="AA909" s="1656"/>
      <c r="AB909" s="1439"/>
      <c r="AC909" s="1439"/>
      <c r="AD909" s="1439"/>
      <c r="AE909" s="1439"/>
      <c r="AF909" s="165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60" t="s">
        <v>601</v>
      </c>
      <c r="V910" s="1355"/>
      <c r="W910" s="1355"/>
      <c r="X910" s="1355"/>
      <c r="Y910" s="1355"/>
      <c r="Z910" s="1356"/>
      <c r="AA910" s="1656"/>
      <c r="AB910" s="1439"/>
      <c r="AC910" s="1439"/>
      <c r="AD910" s="1439"/>
      <c r="AE910" s="1439"/>
      <c r="AF910" s="165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60" t="s">
        <v>601</v>
      </c>
      <c r="V911" s="1355"/>
      <c r="W911" s="1355"/>
      <c r="X911" s="1355"/>
      <c r="Y911" s="1355"/>
      <c r="Z911" s="1356"/>
      <c r="AA911" s="1656"/>
      <c r="AB911" s="1439"/>
      <c r="AC911" s="1439"/>
      <c r="AD911" s="1439"/>
      <c r="AE911" s="1439"/>
      <c r="AF911" s="165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60" t="s">
        <v>601</v>
      </c>
      <c r="V912" s="1355"/>
      <c r="W912" s="1355"/>
      <c r="X912" s="1355"/>
      <c r="Y912" s="1355"/>
      <c r="Z912" s="1356"/>
      <c r="AA912" s="1656"/>
      <c r="AB912" s="1439"/>
      <c r="AC912" s="1439"/>
      <c r="AD912" s="1439"/>
      <c r="AE912" s="1439"/>
      <c r="AF912" s="165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60" t="s">
        <v>601</v>
      </c>
      <c r="V913" s="1355"/>
      <c r="W913" s="1355"/>
      <c r="X913" s="1355"/>
      <c r="Y913" s="1355"/>
      <c r="Z913" s="1356"/>
      <c r="AA913" s="1656"/>
      <c r="AB913" s="1439"/>
      <c r="AC913" s="1439"/>
      <c r="AD913" s="1439"/>
      <c r="AE913" s="1439"/>
      <c r="AF913" s="165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60" t="s">
        <v>601</v>
      </c>
      <c r="V914" s="1355"/>
      <c r="W914" s="1355"/>
      <c r="X914" s="1355"/>
      <c r="Y914" s="1355"/>
      <c r="Z914" s="1356"/>
      <c r="AA914" s="1656"/>
      <c r="AB914" s="1439"/>
      <c r="AC914" s="1439"/>
      <c r="AD914" s="1439"/>
      <c r="AE914" s="1439"/>
      <c r="AF914" s="165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60" t="s">
        <v>601</v>
      </c>
      <c r="V915" s="1355"/>
      <c r="W915" s="1355"/>
      <c r="X915" s="1355"/>
      <c r="Y915" s="1355"/>
      <c r="Z915" s="1356"/>
      <c r="AA915" s="1656"/>
      <c r="AB915" s="1439"/>
      <c r="AC915" s="1439"/>
      <c r="AD915" s="1439"/>
      <c r="AE915" s="1439"/>
      <c r="AF915" s="165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60" t="s">
        <v>679</v>
      </c>
      <c r="Q916" s="1355"/>
      <c r="R916" s="1355"/>
      <c r="S916" s="1355"/>
      <c r="T916" s="1356"/>
      <c r="U916" s="1660" t="s">
        <v>601</v>
      </c>
      <c r="V916" s="1355"/>
      <c r="W916" s="1355"/>
      <c r="X916" s="1355"/>
      <c r="Y916" s="1355"/>
      <c r="Z916" s="1356"/>
      <c r="AA916" s="1656"/>
      <c r="AB916" s="1439"/>
      <c r="AC916" s="1439"/>
      <c r="AD916" s="1439"/>
      <c r="AE916" s="1439"/>
      <c r="AF916" s="165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5" t="s">
        <v>336</v>
      </c>
      <c r="J917" s="1616"/>
      <c r="K917" s="1616"/>
      <c r="L917" s="1616"/>
      <c r="M917" s="1616"/>
      <c r="N917" s="1616"/>
      <c r="O917" s="1616"/>
      <c r="P917" s="1616"/>
      <c r="Q917" s="1616"/>
      <c r="R917" s="1616"/>
      <c r="S917" s="1616"/>
      <c r="T917" s="1617"/>
      <c r="U917" s="1660" t="s">
        <v>601</v>
      </c>
      <c r="V917" s="1355"/>
      <c r="W917" s="1355"/>
      <c r="X917" s="1355"/>
      <c r="Y917" s="1355"/>
      <c r="Z917" s="1356"/>
      <c r="AA917" s="1656"/>
      <c r="AB917" s="1439"/>
      <c r="AC917" s="1439"/>
      <c r="AD917" s="1439"/>
      <c r="AE917" s="1439"/>
      <c r="AF917" s="165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15" t="s">
        <v>2726</v>
      </c>
      <c r="J918" s="1669"/>
      <c r="K918" s="1669"/>
      <c r="L918" s="1669"/>
      <c r="M918" s="1669"/>
      <c r="N918" s="1669"/>
      <c r="O918" s="1669"/>
      <c r="P918" s="1669"/>
      <c r="Q918" s="1669"/>
      <c r="R918" s="1669"/>
      <c r="S918" s="1669"/>
      <c r="T918" s="1670"/>
      <c r="U918" s="1660" t="s">
        <v>555</v>
      </c>
      <c r="V918" s="1355"/>
      <c r="W918" s="1355"/>
      <c r="X918" s="1355"/>
      <c r="Y918" s="1355"/>
      <c r="Z918" s="1356"/>
      <c r="AA918" s="1656">
        <v>14442686</v>
      </c>
      <c r="AB918" s="1439"/>
      <c r="AC918" s="1439"/>
      <c r="AD918" s="1439"/>
      <c r="AE918" s="1439"/>
      <c r="AF918" s="165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68" t="s">
        <v>336</v>
      </c>
      <c r="J919" s="1669"/>
      <c r="K919" s="1669"/>
      <c r="L919" s="1669"/>
      <c r="M919" s="1669"/>
      <c r="N919" s="1669"/>
      <c r="O919" s="1669"/>
      <c r="P919" s="1669"/>
      <c r="Q919" s="1669"/>
      <c r="R919" s="1669"/>
      <c r="S919" s="1669"/>
      <c r="T919" s="1670"/>
      <c r="U919" s="1660" t="s">
        <v>601</v>
      </c>
      <c r="V919" s="1355"/>
      <c r="W919" s="1355"/>
      <c r="X919" s="1355"/>
      <c r="Y919" s="1355"/>
      <c r="Z919" s="1356"/>
      <c r="AA919" s="1656"/>
      <c r="AB919" s="1439"/>
      <c r="AC919" s="1439"/>
      <c r="AD919" s="1439"/>
      <c r="AE919" s="1439"/>
      <c r="AF919" s="165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8" t="s">
        <v>336</v>
      </c>
      <c r="J920" s="1669"/>
      <c r="K920" s="1669"/>
      <c r="L920" s="1669"/>
      <c r="M920" s="1669"/>
      <c r="N920" s="1669"/>
      <c r="O920" s="1669"/>
      <c r="P920" s="1669"/>
      <c r="Q920" s="1669"/>
      <c r="R920" s="1669"/>
      <c r="S920" s="1669"/>
      <c r="T920" s="1670"/>
      <c r="U920" s="1660" t="s">
        <v>601</v>
      </c>
      <c r="V920" s="1355"/>
      <c r="W920" s="1355"/>
      <c r="X920" s="1355"/>
      <c r="Y920" s="1355"/>
      <c r="Z920" s="1356"/>
      <c r="AA920" s="1656"/>
      <c r="AB920" s="1439"/>
      <c r="AC920" s="1439"/>
      <c r="AD920" s="1439"/>
      <c r="AE920" s="1439"/>
      <c r="AF920" s="165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7">
        <v>44949</v>
      </c>
      <c r="N925" s="1598"/>
      <c r="O925" s="1598"/>
      <c r="P925" s="1598"/>
      <c r="Q925" s="1598"/>
      <c r="R925" s="1598"/>
      <c r="S925" s="1631"/>
      <c r="U925" s="66" t="s">
        <v>11</v>
      </c>
      <c r="V925" s="5"/>
      <c r="W925" s="5"/>
      <c r="X925" s="5"/>
      <c r="Y925" s="5"/>
      <c r="Z925" s="5"/>
      <c r="AA925" s="5"/>
      <c r="AB925" s="5"/>
      <c r="AC925" s="5"/>
      <c r="AD925" s="46"/>
      <c r="AE925" s="1667"/>
      <c r="AF925" s="1598"/>
      <c r="AG925" s="1598"/>
      <c r="AH925" s="1598"/>
      <c r="AI925" s="1598"/>
      <c r="AJ925" s="1598"/>
      <c r="AK925" s="163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58" t="s">
        <v>2649</v>
      </c>
      <c r="N926" s="1464"/>
      <c r="O926" s="1464"/>
      <c r="P926" s="1464"/>
      <c r="Q926" s="1464"/>
      <c r="R926" s="1464"/>
      <c r="S926" s="1659"/>
      <c r="U926" s="66" t="s">
        <v>12</v>
      </c>
      <c r="V926" s="5"/>
      <c r="W926" s="5"/>
      <c r="X926" s="5"/>
      <c r="Y926" s="5"/>
      <c r="Z926" s="5"/>
      <c r="AA926" s="5"/>
      <c r="AB926" s="5"/>
      <c r="AC926" s="5"/>
      <c r="AD926" s="46"/>
      <c r="AE926" s="1658"/>
      <c r="AF926" s="1464"/>
      <c r="AG926" s="1464"/>
      <c r="AH926" s="1464"/>
      <c r="AI926" s="1464"/>
      <c r="AJ926" s="1464"/>
      <c r="AK926" s="165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61" t="s">
        <v>2727</v>
      </c>
      <c r="K927" s="1662"/>
      <c r="L927" s="1662"/>
      <c r="M927" s="1662"/>
      <c r="N927" s="1662"/>
      <c r="O927" s="1662"/>
      <c r="P927" s="1662"/>
      <c r="Q927" s="1662"/>
      <c r="R927" s="1662"/>
      <c r="S927" s="1663"/>
      <c r="U927" s="66" t="s">
        <v>910</v>
      </c>
      <c r="V927" s="5"/>
      <c r="W927" s="5"/>
      <c r="AB927" s="1661" t="s">
        <v>309</v>
      </c>
      <c r="AC927" s="1662"/>
      <c r="AD927" s="1662"/>
      <c r="AE927" s="1662"/>
      <c r="AF927" s="1662"/>
      <c r="AG927" s="1662"/>
      <c r="AH927" s="1662"/>
      <c r="AI927" s="1662"/>
      <c r="AJ927" s="1662"/>
      <c r="AK927" s="166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23">
        <f>M929/70</f>
        <v>0.35714285714285715</v>
      </c>
      <c r="N928" s="1824"/>
      <c r="O928" s="1824"/>
      <c r="P928" s="1824"/>
      <c r="Q928" s="1824"/>
      <c r="R928" s="1824"/>
      <c r="S928" s="1825"/>
      <c r="U928" s="66" t="s">
        <v>13</v>
      </c>
      <c r="V928" s="5"/>
      <c r="W928" s="5"/>
      <c r="X928" s="5"/>
      <c r="Y928" s="5"/>
      <c r="Z928" s="5"/>
      <c r="AA928" s="5"/>
      <c r="AB928" s="5"/>
      <c r="AC928" s="5"/>
      <c r="AD928" s="46"/>
      <c r="AE928" s="1678"/>
      <c r="AF928" s="1679"/>
      <c r="AG928" s="1679"/>
      <c r="AH928" s="1679"/>
      <c r="AI928" s="1679"/>
      <c r="AJ928" s="1679"/>
      <c r="AK928" s="168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81">
        <v>25</v>
      </c>
      <c r="N929" s="1634"/>
      <c r="O929" s="1634"/>
      <c r="P929" s="1634"/>
      <c r="Q929" s="1634"/>
      <c r="R929" s="1634"/>
      <c r="S929" s="1635"/>
      <c r="U929" s="66" t="s">
        <v>14</v>
      </c>
      <c r="V929" s="5"/>
      <c r="W929" s="5"/>
      <c r="X929" s="5"/>
      <c r="Y929" s="5"/>
      <c r="Z929" s="5"/>
      <c r="AA929" s="5"/>
      <c r="AB929" s="5"/>
      <c r="AC929" s="5"/>
      <c r="AD929" s="46"/>
      <c r="AE929" s="1681"/>
      <c r="AF929" s="1634"/>
      <c r="AG929" s="1634"/>
      <c r="AH929" s="1634"/>
      <c r="AI929" s="1634"/>
      <c r="AJ929" s="1634"/>
      <c r="AK929" s="163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6">
        <f>'Subsidy Contract Calculation'!J30</f>
        <v>257484</v>
      </c>
      <c r="N930" s="1439"/>
      <c r="O930" s="1439"/>
      <c r="P930" s="1439"/>
      <c r="Q930" s="1439"/>
      <c r="R930" s="1439"/>
      <c r="S930" s="1657"/>
      <c r="U930" s="66" t="s">
        <v>15</v>
      </c>
      <c r="V930" s="5"/>
      <c r="W930" s="5"/>
      <c r="X930" s="5"/>
      <c r="Y930" s="5"/>
      <c r="Z930" s="5"/>
      <c r="AA930" s="5"/>
      <c r="AB930" s="5"/>
      <c r="AC930" s="5"/>
      <c r="AD930" s="46"/>
      <c r="AE930" s="1656"/>
      <c r="AF930" s="1439"/>
      <c r="AG930" s="1439"/>
      <c r="AH930" s="1439"/>
      <c r="AI930" s="1439"/>
      <c r="AJ930" s="1439"/>
      <c r="AK930" s="165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6">
        <f>M930*M932</f>
        <v>5149680</v>
      </c>
      <c r="N931" s="1439"/>
      <c r="O931" s="1439"/>
      <c r="P931" s="1439"/>
      <c r="Q931" s="1439"/>
      <c r="R931" s="1439"/>
      <c r="S931" s="1657"/>
      <c r="U931" s="66" t="s">
        <v>16</v>
      </c>
      <c r="V931" s="5"/>
      <c r="W931" s="5"/>
      <c r="X931" s="5"/>
      <c r="Y931" s="5"/>
      <c r="Z931" s="5"/>
      <c r="AA931" s="5"/>
      <c r="AB931" s="5"/>
      <c r="AC931" s="5"/>
      <c r="AD931" s="46"/>
      <c r="AE931" s="1656"/>
      <c r="AF931" s="1439"/>
      <c r="AG931" s="1439"/>
      <c r="AH931" s="1439"/>
      <c r="AI931" s="1439"/>
      <c r="AJ931" s="1439"/>
      <c r="AK931" s="165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75">
        <v>20</v>
      </c>
      <c r="N932" s="1676"/>
      <c r="O932" s="1676"/>
      <c r="P932" s="1676"/>
      <c r="Q932" s="1676"/>
      <c r="R932" s="1676"/>
      <c r="S932" s="1677"/>
      <c r="U932" s="121" t="s">
        <v>1843</v>
      </c>
      <c r="V932" s="5"/>
      <c r="W932" s="5"/>
      <c r="X932" s="5"/>
      <c r="Y932" s="5"/>
      <c r="Z932" s="5"/>
      <c r="AA932" s="5"/>
      <c r="AB932" s="5"/>
      <c r="AC932" s="5"/>
      <c r="AD932" s="46"/>
      <c r="AE932" s="1675"/>
      <c r="AF932" s="1676"/>
      <c r="AG932" s="1676"/>
      <c r="AH932" s="1676"/>
      <c r="AI932" s="1676"/>
      <c r="AJ932" s="1676"/>
      <c r="AK932" s="167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46"/>
      <c r="N937" s="1647"/>
      <c r="O937" s="1647"/>
      <c r="P937" s="1647"/>
      <c r="Q937" s="1647"/>
      <c r="R937" s="1647"/>
      <c r="S937" s="1648"/>
      <c r="T937" s="66" t="s">
        <v>815</v>
      </c>
      <c r="U937" s="5"/>
      <c r="V937" s="5"/>
      <c r="W937" s="5"/>
      <c r="X937" s="5"/>
      <c r="Y937" s="5"/>
      <c r="Z937" s="46"/>
      <c r="AA937" s="1646"/>
      <c r="AB937" s="1647"/>
      <c r="AC937" s="1647"/>
      <c r="AD937" s="1647"/>
      <c r="AE937" s="1647"/>
      <c r="AF937" s="1647"/>
      <c r="AG937" s="1648"/>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46"/>
      <c r="N938" s="1647"/>
      <c r="O938" s="1647"/>
      <c r="P938" s="1647"/>
      <c r="Q938" s="1647"/>
      <c r="R938" s="1647"/>
      <c r="S938" s="1648"/>
      <c r="T938" s="66" t="s">
        <v>814</v>
      </c>
      <c r="U938" s="5"/>
      <c r="V938" s="5"/>
      <c r="W938" s="5"/>
      <c r="X938" s="5"/>
      <c r="Y938" s="5"/>
      <c r="Z938" s="46"/>
      <c r="AA938" s="1646"/>
      <c r="AB938" s="1647"/>
      <c r="AC938" s="1647"/>
      <c r="AD938" s="1647"/>
      <c r="AE938" s="1647"/>
      <c r="AF938" s="1647"/>
      <c r="AG938" s="1648"/>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8" t="s">
        <v>601</v>
      </c>
      <c r="N939" s="1699"/>
      <c r="O939" s="1699"/>
      <c r="P939" s="1699"/>
      <c r="Q939" s="1699"/>
      <c r="R939" s="1699"/>
      <c r="S939" s="1700"/>
      <c r="T939" s="45" t="s">
        <v>339</v>
      </c>
      <c r="U939" s="5"/>
      <c r="V939" s="5"/>
      <c r="W939" s="5"/>
      <c r="X939" s="5"/>
      <c r="Y939" s="5"/>
      <c r="Z939" s="46"/>
      <c r="AA939" s="1646"/>
      <c r="AB939" s="1647"/>
      <c r="AC939" s="1647"/>
      <c r="AD939" s="1647"/>
      <c r="AE939" s="1647"/>
      <c r="AF939" s="1647"/>
      <c r="AG939" s="1648"/>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46"/>
      <c r="N940" s="1647"/>
      <c r="O940" s="1647"/>
      <c r="P940" s="1647"/>
      <c r="Q940" s="1647"/>
      <c r="R940" s="1647"/>
      <c r="S940" s="1648"/>
      <c r="T940" s="45" t="s">
        <v>340</v>
      </c>
      <c r="U940" s="5"/>
      <c r="V940" s="5"/>
      <c r="W940" s="5"/>
      <c r="X940" s="5"/>
      <c r="Y940" s="5"/>
      <c r="Z940" s="46"/>
      <c r="AA940" s="1646"/>
      <c r="AB940" s="1647"/>
      <c r="AC940" s="1647"/>
      <c r="AD940" s="1647"/>
      <c r="AE940" s="1647"/>
      <c r="AF940" s="1647"/>
      <c r="AG940" s="1648"/>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46"/>
      <c r="N941" s="1647"/>
      <c r="O941" s="1647"/>
      <c r="P941" s="1647"/>
      <c r="Q941" s="1647"/>
      <c r="R941" s="1647"/>
      <c r="S941" s="1648"/>
      <c r="T941" s="45" t="s">
        <v>378</v>
      </c>
      <c r="U941" s="5"/>
      <c r="V941" s="5"/>
      <c r="W941" s="5"/>
      <c r="X941" s="5"/>
      <c r="Y941" s="5"/>
      <c r="Z941" s="46"/>
      <c r="AA941" s="1646"/>
      <c r="AB941" s="1647"/>
      <c r="AC941" s="1647"/>
      <c r="AD941" s="1647"/>
      <c r="AE941" s="1647"/>
      <c r="AF941" s="1647"/>
      <c r="AG941" s="1648"/>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85" t="s">
        <v>309</v>
      </c>
      <c r="N942" s="1686"/>
      <c r="O942" s="1686"/>
      <c r="P942" s="1686"/>
      <c r="Q942" s="1686"/>
      <c r="R942" s="1686"/>
      <c r="S942" s="1687"/>
      <c r="T942" s="1664"/>
      <c r="U942" s="1665"/>
      <c r="V942" s="1665"/>
      <c r="W942" s="1665"/>
      <c r="X942" s="1665"/>
      <c r="Y942" s="1665"/>
      <c r="Z942" s="1666"/>
      <c r="AA942" s="1646"/>
      <c r="AB942" s="1647"/>
      <c r="AC942" s="1647"/>
      <c r="AD942" s="1647"/>
      <c r="AE942" s="1647"/>
      <c r="AF942" s="1647"/>
      <c r="AG942" s="1648"/>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46"/>
      <c r="N943" s="1647"/>
      <c r="O943" s="1647"/>
      <c r="P943" s="1647"/>
      <c r="Q943" s="1647"/>
      <c r="R943" s="1647"/>
      <c r="S943" s="1648"/>
      <c r="T943" s="1664"/>
      <c r="U943" s="1665"/>
      <c r="V943" s="1665"/>
      <c r="W943" s="1665"/>
      <c r="X943" s="1665"/>
      <c r="Y943" s="1665"/>
      <c r="Z943" s="1666"/>
      <c r="AA943" s="1646"/>
      <c r="AB943" s="1647"/>
      <c r="AC943" s="1647"/>
      <c r="AD943" s="1647"/>
      <c r="AE943" s="1647"/>
      <c r="AF943" s="1647"/>
      <c r="AG943" s="1648"/>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82" t="s">
        <v>336</v>
      </c>
      <c r="X944" s="1683"/>
      <c r="Y944" s="1683"/>
      <c r="Z944" s="1683"/>
      <c r="AA944" s="1683"/>
      <c r="AB944" s="1683"/>
      <c r="AC944" s="1683"/>
      <c r="AD944" s="1683"/>
      <c r="AE944" s="1683"/>
      <c r="AF944" s="1683"/>
      <c r="AG944" s="168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6" t="s">
        <v>33</v>
      </c>
      <c r="G945" s="1517"/>
      <c r="H945" s="1517"/>
      <c r="I945" s="1517"/>
      <c r="J945" s="1517"/>
      <c r="K945" s="1517"/>
      <c r="L945" s="1517"/>
      <c r="M945" s="1646"/>
      <c r="N945" s="1647"/>
      <c r="O945" s="1647"/>
      <c r="P945" s="1647"/>
      <c r="Q945" s="1647"/>
      <c r="R945" s="1647"/>
      <c r="S945" s="1648"/>
      <c r="T945" s="47"/>
      <c r="U945" s="48"/>
      <c r="V945" s="48"/>
      <c r="W945" s="48"/>
      <c r="X945" s="48"/>
      <c r="Y945" s="48"/>
      <c r="Z945" s="124" t="s">
        <v>135</v>
      </c>
      <c r="AA945" s="1816"/>
      <c r="AB945" s="1817"/>
      <c r="AC945" s="1817"/>
      <c r="AD945" s="1817"/>
      <c r="AE945" s="1817"/>
      <c r="AF945" s="1817"/>
      <c r="AG945" s="181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22" t="s">
        <v>558</v>
      </c>
      <c r="B949" s="1822"/>
      <c r="C949" s="1822"/>
      <c r="D949" s="1822"/>
      <c r="E949" s="1822"/>
      <c r="F949" s="1822"/>
      <c r="G949" s="1822"/>
      <c r="H949" s="1822"/>
      <c r="I949" s="1822"/>
      <c r="J949" s="1822"/>
      <c r="K949" s="1822"/>
      <c r="L949" s="1822"/>
      <c r="M949" s="1822"/>
      <c r="N949" s="1822"/>
      <c r="O949" s="1822"/>
      <c r="P949" s="1822"/>
      <c r="Q949" s="1822"/>
      <c r="R949" s="1822"/>
      <c r="S949" s="1822"/>
      <c r="T949" s="1822"/>
      <c r="U949" s="1822"/>
      <c r="V949" s="1822"/>
      <c r="W949" s="1822"/>
      <c r="X949" s="1822"/>
      <c r="Y949" s="1822"/>
      <c r="Z949" s="1822"/>
      <c r="AA949" s="1822"/>
      <c r="AB949" s="1822"/>
      <c r="AC949" s="1822"/>
      <c r="AD949" s="1822"/>
      <c r="AE949" s="1822"/>
      <c r="AF949" s="1822"/>
      <c r="AG949" s="1822"/>
      <c r="AH949" s="1822"/>
      <c r="AI949" s="1822"/>
      <c r="AJ949" s="1822"/>
      <c r="AK949" s="1822"/>
      <c r="AL949" s="1822"/>
      <c r="AM949" s="1822"/>
      <c r="AN949" s="1822"/>
      <c r="AO949" s="1822"/>
      <c r="AP949" s="1822"/>
      <c r="AQ949" s="1822"/>
      <c r="AR949" s="1822"/>
      <c r="AS949" s="182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22"/>
      <c r="B950" s="1822"/>
      <c r="C950" s="1822"/>
      <c r="D950" s="1822"/>
      <c r="E950" s="1822"/>
      <c r="F950" s="1822"/>
      <c r="G950" s="1822"/>
      <c r="H950" s="1822"/>
      <c r="I950" s="1822"/>
      <c r="J950" s="1822"/>
      <c r="K950" s="1822"/>
      <c r="L950" s="1822"/>
      <c r="M950" s="1822"/>
      <c r="N950" s="1822"/>
      <c r="O950" s="1822"/>
      <c r="P950" s="1822"/>
      <c r="Q950" s="1822"/>
      <c r="R950" s="1822"/>
      <c r="S950" s="1822"/>
      <c r="T950" s="1822"/>
      <c r="U950" s="1822"/>
      <c r="V950" s="1822"/>
      <c r="W950" s="1822"/>
      <c r="X950" s="1822"/>
      <c r="Y950" s="1822"/>
      <c r="Z950" s="1822"/>
      <c r="AA950" s="1822"/>
      <c r="AB950" s="1822"/>
      <c r="AC950" s="1822"/>
      <c r="AD950" s="1822"/>
      <c r="AE950" s="1822"/>
      <c r="AF950" s="1822"/>
      <c r="AG950" s="1822"/>
      <c r="AH950" s="1822"/>
      <c r="AI950" s="1822"/>
      <c r="AJ950" s="1822"/>
      <c r="AK950" s="1822"/>
      <c r="AL950" s="1822"/>
      <c r="AM950" s="1822"/>
      <c r="AN950" s="1822"/>
      <c r="AO950" s="1822"/>
      <c r="AP950" s="1822"/>
      <c r="AQ950" s="1822"/>
      <c r="AR950" s="1822"/>
      <c r="AS950" s="182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8"/>
      <c r="BH951" s="1638"/>
      <c r="BI951" s="1638"/>
      <c r="BJ951" s="1638"/>
      <c r="BK951" s="1638"/>
      <c r="BL951" s="163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9" t="s">
        <v>648</v>
      </c>
      <c r="E954" s="1810"/>
      <c r="F954" s="1810"/>
      <c r="G954" s="1810"/>
      <c r="H954" s="1810"/>
      <c r="I954" s="1810"/>
      <c r="J954" s="1810"/>
      <c r="K954" s="1810"/>
      <c r="L954" s="1810"/>
      <c r="M954" s="1810"/>
      <c r="N954" s="1810"/>
      <c r="O954" s="1810"/>
      <c r="P954" s="1810"/>
      <c r="Q954" s="1811"/>
      <c r="R954" s="1809" t="s">
        <v>649</v>
      </c>
      <c r="S954" s="1810"/>
      <c r="T954" s="1810"/>
      <c r="U954" s="1810"/>
      <c r="V954" s="1810"/>
      <c r="W954" s="1810"/>
      <c r="X954" s="1810"/>
      <c r="Y954" s="1810"/>
      <c r="Z954" s="1810"/>
      <c r="AA954" s="1811"/>
      <c r="AB954" s="1809" t="s">
        <v>650</v>
      </c>
      <c r="AC954" s="1810"/>
      <c r="AD954" s="1810"/>
      <c r="AE954" s="1810"/>
      <c r="AF954" s="1810"/>
      <c r="AG954" s="1810"/>
      <c r="AH954" s="1810"/>
      <c r="AI954" s="1811"/>
      <c r="AJ954" s="1809" t="s">
        <v>651</v>
      </c>
      <c r="AK954" s="1810"/>
      <c r="AL954" s="1810"/>
      <c r="AM954" s="1810"/>
      <c r="AN954" s="1810"/>
      <c r="AO954" s="1810"/>
      <c r="AP954" s="1810"/>
      <c r="AQ954" s="181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24" t="s">
        <v>643</v>
      </c>
      <c r="E955" s="1725"/>
      <c r="F955" s="1725"/>
      <c r="G955" s="1725"/>
      <c r="H955" s="1725"/>
      <c r="I955" s="1725"/>
      <c r="J955" s="1725"/>
      <c r="K955" s="1725"/>
      <c r="L955" s="1725"/>
      <c r="M955" s="1725"/>
      <c r="N955" s="1725"/>
      <c r="O955" s="1725"/>
      <c r="P955" s="1725"/>
      <c r="Q955" s="1726"/>
      <c r="R955" s="1704">
        <f>IF(ISNA(IF($BN$785="4%",(INDEX($BP$795:$BT$852,MATCH($CB$785,$BO$795:$BO$852,0),MATCH(D955,$BP$794:$BT$794,0))),(INDEX($BW$795:$CA$852,MATCH($CB$785,$BV$795:$BV$852,0),MATCH(D955,$BW$794:$CA$794,0))))),0,IF($BN$785="4%",(INDEX($BP$795:$BT$852,MATCH($CB$785,$BO$795:$BO$852,0),MATCH(D955,$BP$794:$BT$794,0))),(INDEX($BW$795:$CA$852,MATCH($CB$785,$BV$795:$BV$852,0),MATCH(D955,$BW$794:$CA$794,0)))))</f>
        <v>319236</v>
      </c>
      <c r="S955" s="1704"/>
      <c r="T955" s="1704"/>
      <c r="U955" s="1704"/>
      <c r="V955" s="1704"/>
      <c r="W955" s="1704"/>
      <c r="X955" s="1704"/>
      <c r="Y955" s="1704"/>
      <c r="Z955" s="1704"/>
      <c r="AA955" s="1704"/>
      <c r="AB955" s="1812">
        <f>BN649</f>
        <v>0</v>
      </c>
      <c r="AC955" s="1813"/>
      <c r="AD955" s="1813"/>
      <c r="AE955" s="1813"/>
      <c r="AF955" s="1813"/>
      <c r="AG955" s="1813"/>
      <c r="AH955" s="1813"/>
      <c r="AI955" s="1814"/>
      <c r="AJ955" s="1729">
        <f>IF(ISERROR((R955*AB955)),0,(R955*AB955))</f>
        <v>0</v>
      </c>
      <c r="AK955" s="1730"/>
      <c r="AL955" s="1730"/>
      <c r="AM955" s="1730"/>
      <c r="AN955" s="1730"/>
      <c r="AO955" s="1730"/>
      <c r="AP955" s="1730"/>
      <c r="AQ955" s="173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4" t="s">
        <v>327</v>
      </c>
      <c r="E956" s="1725"/>
      <c r="F956" s="1725"/>
      <c r="G956" s="1725"/>
      <c r="H956" s="1725"/>
      <c r="I956" s="1725"/>
      <c r="J956" s="1725"/>
      <c r="K956" s="1725"/>
      <c r="L956" s="1725"/>
      <c r="M956" s="1725"/>
      <c r="N956" s="1725"/>
      <c r="O956" s="1725"/>
      <c r="P956" s="1725"/>
      <c r="Q956" s="1726"/>
      <c r="R956" s="1704">
        <f>IF(ISNA(IF($BN$785="4%",(INDEX($BP$795:$BT$852,MATCH($CB$785,$BO$795:$BO$852,0),MATCH(D956,$BP$794:$BT$794,0))),(INDEX($BW$795:$CA$852,MATCH($CB$785,$BV$795:$BV$852,0),MATCH(D956,$BW$794:$CA$794,0))))),0,IF($BN$785="4%",(INDEX($BP$795:$BT$852,MATCH($CB$785,$BO$795:$BO$852,0),MATCH(D956,$BP$794:$BT$794,0))),(INDEX($BW$795:$CA$852,MATCH($CB$785,$BV$795:$BV$852,0),MATCH(D956,$BW$794:$CA$794,0)))))</f>
        <v>368076</v>
      </c>
      <c r="S956" s="1704"/>
      <c r="T956" s="1704"/>
      <c r="U956" s="1704"/>
      <c r="V956" s="1704"/>
      <c r="W956" s="1704"/>
      <c r="X956" s="1704"/>
      <c r="Y956" s="1704"/>
      <c r="Z956" s="1704"/>
      <c r="AA956" s="1704"/>
      <c r="AB956" s="1812">
        <f>BS649</f>
        <v>18</v>
      </c>
      <c r="AC956" s="1813"/>
      <c r="AD956" s="1813"/>
      <c r="AE956" s="1813"/>
      <c r="AF956" s="1813"/>
      <c r="AG956" s="1813"/>
      <c r="AH956" s="1813"/>
      <c r="AI956" s="1814"/>
      <c r="AJ956" s="1729">
        <f>IF(ISERROR((R956*AB956)),0,(R956*AB956))</f>
        <v>6625368</v>
      </c>
      <c r="AK956" s="1730"/>
      <c r="AL956" s="1730"/>
      <c r="AM956" s="1730"/>
      <c r="AN956" s="1730"/>
      <c r="AO956" s="1730"/>
      <c r="AP956" s="1730"/>
      <c r="AQ956" s="173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4" t="s">
        <v>164</v>
      </c>
      <c r="E957" s="1725"/>
      <c r="F957" s="1725"/>
      <c r="G957" s="1725"/>
      <c r="H957" s="1725"/>
      <c r="I957" s="1725"/>
      <c r="J957" s="1725"/>
      <c r="K957" s="1725"/>
      <c r="L957" s="1725"/>
      <c r="M957" s="1725"/>
      <c r="N957" s="1725"/>
      <c r="O957" s="1725"/>
      <c r="P957" s="1725"/>
      <c r="Q957" s="1726"/>
      <c r="R957" s="1704">
        <f>IF(ISNA(IF($BN$785="4%",(INDEX($BP$795:$BT$852,MATCH($CB$785,$BO$795:$BO$852,0),MATCH(D957,$BP$794:$BT$794,0))),(INDEX($BW$795:$CA$852,MATCH($CB$785,$BV$795:$BV$852,0),MATCH(D957,$BW$794:$CA$794,0))))),0,IF($BN$785="4%",(INDEX($BP$795:$BT$852,MATCH($CB$785,$BO$795:$BO$852,0),MATCH(D957,$BP$794:$BT$794,0))),(INDEX($BW$795:$CA$852,MATCH($CB$785,$BV$795:$BV$852,0),MATCH(D957,$BW$794:$CA$794,0)))))</f>
        <v>444000</v>
      </c>
      <c r="S957" s="1704"/>
      <c r="T957" s="1704"/>
      <c r="U957" s="1704"/>
      <c r="V957" s="1704"/>
      <c r="W957" s="1704"/>
      <c r="X957" s="1704"/>
      <c r="Y957" s="1704"/>
      <c r="Z957" s="1704"/>
      <c r="AA957" s="1704"/>
      <c r="AB957" s="1812">
        <f>BX649</f>
        <v>34</v>
      </c>
      <c r="AC957" s="1813"/>
      <c r="AD957" s="1813"/>
      <c r="AE957" s="1813"/>
      <c r="AF957" s="1813"/>
      <c r="AG957" s="1813"/>
      <c r="AH957" s="1813"/>
      <c r="AI957" s="1814"/>
      <c r="AJ957" s="1729">
        <f>IF(ISERROR((R957*AB957)),0,(R957*AB957))</f>
        <v>15096000</v>
      </c>
      <c r="AK957" s="1730"/>
      <c r="AL957" s="1730"/>
      <c r="AM957" s="1730"/>
      <c r="AN957" s="1730"/>
      <c r="AO957" s="1730"/>
      <c r="AP957" s="1730"/>
      <c r="AQ957" s="173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4" t="s">
        <v>165</v>
      </c>
      <c r="E958" s="1725"/>
      <c r="F958" s="1725"/>
      <c r="G958" s="1725"/>
      <c r="H958" s="1725"/>
      <c r="I958" s="1725"/>
      <c r="J958" s="1725"/>
      <c r="K958" s="1725"/>
      <c r="L958" s="1725"/>
      <c r="M958" s="1725"/>
      <c r="N958" s="1725"/>
      <c r="O958" s="1725"/>
      <c r="P958" s="1725"/>
      <c r="Q958" s="1726"/>
      <c r="R958" s="1704">
        <f>IF(ISNA(IF($BN$785="4%",(INDEX($BP$795:$BT$852,MATCH($CB$785,$BO$795:$BO$852,0),MATCH(D958,$BP$794:$BT$794,0))),(INDEX($BW$795:$CA$852,MATCH($CB$785,$BV$795:$BV$852,0),MATCH(D958,$BW$794:$CA$794,0))))),0,IF($BN$785="4%",(INDEX($BP$795:$BT$852,MATCH($CB$785,$BO$795:$BO$852,0),MATCH(D958,$BP$794:$BT$794,0))),(INDEX($BW$795:$CA$852,MATCH($CB$785,$BV$795:$BV$852,0),MATCH(D958,$BW$794:$CA$794,0)))))</f>
        <v>568320</v>
      </c>
      <c r="S958" s="1704"/>
      <c r="T958" s="1704"/>
      <c r="U958" s="1704"/>
      <c r="V958" s="1704"/>
      <c r="W958" s="1704"/>
      <c r="X958" s="1704"/>
      <c r="Y958" s="1704"/>
      <c r="Z958" s="1704"/>
      <c r="AA958" s="1704"/>
      <c r="AB958" s="1812">
        <f>CC649</f>
        <v>18</v>
      </c>
      <c r="AC958" s="1813"/>
      <c r="AD958" s="1813"/>
      <c r="AE958" s="1813"/>
      <c r="AF958" s="1813"/>
      <c r="AG958" s="1813"/>
      <c r="AH958" s="1813"/>
      <c r="AI958" s="1814"/>
      <c r="AJ958" s="1729">
        <f>IF(ISERROR((R958*AB958)),0,(R958*AB958))</f>
        <v>10229760</v>
      </c>
      <c r="AK958" s="1730"/>
      <c r="AL958" s="1730"/>
      <c r="AM958" s="1730"/>
      <c r="AN958" s="1730"/>
      <c r="AO958" s="1730"/>
      <c r="AP958" s="1730"/>
      <c r="AQ958" s="173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4" t="s">
        <v>470</v>
      </c>
      <c r="E959" s="1725"/>
      <c r="F959" s="1725"/>
      <c r="G959" s="1725"/>
      <c r="H959" s="1725"/>
      <c r="I959" s="1725"/>
      <c r="J959" s="1725"/>
      <c r="K959" s="1725"/>
      <c r="L959" s="1725"/>
      <c r="M959" s="1725"/>
      <c r="N959" s="1725"/>
      <c r="O959" s="1725"/>
      <c r="P959" s="1725"/>
      <c r="Q959" s="1726"/>
      <c r="R959" s="1704">
        <f>IF(ISNA(IF($BN$785="4%",(INDEX($BP$795:$BT$852,MATCH($CB$785,$BO$795:$BO$852,0),MATCH(D959,$BP$794:$BT$794,0))),(INDEX($BW$795:$CA$852,MATCH($CB$785,$BV$795:$BV$852,0),MATCH(D959,$BW$794:$CA$794,0))))),0,IF($BN$785="4%",(INDEX($BP$795:$BT$852,MATCH($CB$785,$BO$795:$BO$852,0),MATCH(D959,$BP$794:$BT$794,0))),(INDEX($BW$795:$CA$852,MATCH($CB$785,$BV$795:$BV$852,0),MATCH(D959,$BW$794:$CA$794,0)))))</f>
        <v>633144</v>
      </c>
      <c r="S959" s="1704"/>
      <c r="T959" s="1704"/>
      <c r="U959" s="1704"/>
      <c r="V959" s="1704"/>
      <c r="W959" s="1704"/>
      <c r="X959" s="1704"/>
      <c r="Y959" s="1704"/>
      <c r="Z959" s="1704"/>
      <c r="AA959" s="1704"/>
      <c r="AB959" s="1812">
        <f>CM649+CH649</f>
        <v>0</v>
      </c>
      <c r="AC959" s="1813"/>
      <c r="AD959" s="1813"/>
      <c r="AE959" s="1813"/>
      <c r="AF959" s="1813"/>
      <c r="AG959" s="1813"/>
      <c r="AH959" s="1813"/>
      <c r="AI959" s="1814"/>
      <c r="AJ959" s="1729">
        <f>IF(ISERROR((R959*AB959)),0,(R959*AB959))</f>
        <v>0</v>
      </c>
      <c r="AK959" s="1730"/>
      <c r="AL959" s="1730"/>
      <c r="AM959" s="1730"/>
      <c r="AN959" s="1730"/>
      <c r="AO959" s="1730"/>
      <c r="AP959" s="1730"/>
      <c r="AQ959" s="173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26" t="s">
        <v>816</v>
      </c>
      <c r="C960" s="1827"/>
      <c r="D960" s="1827"/>
      <c r="E960" s="1827"/>
      <c r="F960" s="1827"/>
      <c r="G960" s="1827"/>
      <c r="H960" s="1827"/>
      <c r="I960" s="1827"/>
      <c r="J960" s="1827"/>
      <c r="K960" s="1827"/>
      <c r="L960" s="1827"/>
      <c r="M960" s="1827"/>
      <c r="N960" s="1827"/>
      <c r="O960" s="1827"/>
      <c r="P960" s="1827"/>
      <c r="Q960" s="1827"/>
      <c r="R960" s="1827"/>
      <c r="S960" s="1827"/>
      <c r="T960" s="1827"/>
      <c r="U960" s="1827"/>
      <c r="V960" s="1827"/>
      <c r="W960" s="1827"/>
      <c r="X960" s="1827"/>
      <c r="Y960" s="1827"/>
      <c r="Z960" s="1827"/>
      <c r="AA960" s="1828"/>
      <c r="AB960" s="1812">
        <f>SUM(AB955:AI959)</f>
        <v>70</v>
      </c>
      <c r="AC960" s="1813"/>
      <c r="AD960" s="1813"/>
      <c r="AE960" s="1813"/>
      <c r="AF960" s="1813"/>
      <c r="AG960" s="1813"/>
      <c r="AH960" s="1813"/>
      <c r="AI960" s="1814"/>
      <c r="AJ960" s="1729"/>
      <c r="AK960" s="1730"/>
      <c r="AL960" s="1730"/>
      <c r="AM960" s="1730"/>
      <c r="AN960" s="1730"/>
      <c r="AO960" s="1730"/>
      <c r="AP960" s="1730"/>
      <c r="AQ960" s="173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4" t="s">
        <v>522</v>
      </c>
      <c r="C961" s="1845"/>
      <c r="D961" s="1845"/>
      <c r="E961" s="1845"/>
      <c r="F961" s="1845"/>
      <c r="G961" s="1845"/>
      <c r="H961" s="1845"/>
      <c r="I961" s="1845"/>
      <c r="J961" s="1845"/>
      <c r="K961" s="1845"/>
      <c r="L961" s="1845"/>
      <c r="M961" s="1845"/>
      <c r="N961" s="1845"/>
      <c r="O961" s="1845"/>
      <c r="P961" s="1845"/>
      <c r="Q961" s="1845"/>
      <c r="R961" s="1845"/>
      <c r="S961" s="1845"/>
      <c r="T961" s="1845"/>
      <c r="U961" s="1845"/>
      <c r="V961" s="1845"/>
      <c r="W961" s="1845"/>
      <c r="X961" s="1845"/>
      <c r="Y961" s="1845"/>
      <c r="Z961" s="1845"/>
      <c r="AA961" s="1845"/>
      <c r="AB961" s="1845"/>
      <c r="AC961" s="1845"/>
      <c r="AD961" s="1845"/>
      <c r="AE961" s="1845"/>
      <c r="AF961" s="1845"/>
      <c r="AG961" s="1845"/>
      <c r="AH961" s="1845"/>
      <c r="AI961" s="1846"/>
      <c r="AJ961" s="1729">
        <f>SUM(AJ955:AQ959)</f>
        <v>31951128</v>
      </c>
      <c r="AK961" s="1730"/>
      <c r="AL961" s="1730"/>
      <c r="AM961" s="1730"/>
      <c r="AN961" s="1730"/>
      <c r="AO961" s="1730"/>
      <c r="AP961" s="1730"/>
      <c r="AQ961" s="173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3"/>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c r="Y962" s="1804"/>
      <c r="Z962" s="1804"/>
      <c r="AA962" s="1804"/>
      <c r="AB962" s="1804"/>
      <c r="AC962" s="1804"/>
      <c r="AD962" s="1804"/>
      <c r="AE962" s="1805"/>
      <c r="AF962" s="1847" t="s">
        <v>676</v>
      </c>
      <c r="AG962" s="1848"/>
      <c r="AH962" s="1848"/>
      <c r="AI962" s="1849"/>
      <c r="AJ962" s="1803"/>
      <c r="AK962" s="1804"/>
      <c r="AL962" s="1804"/>
      <c r="AM962" s="1804"/>
      <c r="AN962" s="1804"/>
      <c r="AO962" s="1804"/>
      <c r="AP962" s="1804"/>
      <c r="AQ962" s="180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806" t="s">
        <v>1364</v>
      </c>
      <c r="E963" s="1807"/>
      <c r="F963" s="1807"/>
      <c r="G963" s="1807"/>
      <c r="H963" s="1807"/>
      <c r="I963" s="1807"/>
      <c r="J963" s="1807"/>
      <c r="K963" s="1807"/>
      <c r="L963" s="1807"/>
      <c r="M963" s="1807"/>
      <c r="N963" s="1807"/>
      <c r="O963" s="1807"/>
      <c r="P963" s="1807"/>
      <c r="Q963" s="1807"/>
      <c r="R963" s="1807"/>
      <c r="S963" s="1807"/>
      <c r="T963" s="1807"/>
      <c r="U963" s="1807"/>
      <c r="V963" s="1807"/>
      <c r="W963" s="1807"/>
      <c r="X963" s="1807"/>
      <c r="Y963" s="1807"/>
      <c r="Z963" s="1807"/>
      <c r="AA963" s="1807"/>
      <c r="AB963" s="1807"/>
      <c r="AC963" s="1807"/>
      <c r="AD963" s="1807"/>
      <c r="AE963" s="1808"/>
      <c r="AF963" s="79"/>
      <c r="AG963" s="1850" t="s">
        <v>555</v>
      </c>
      <c r="AH963" s="1851"/>
      <c r="AI963" s="87"/>
      <c r="AJ963" s="1786">
        <f>ROUND(IF(AND(AG963="yes",D965&gt;0),AJ961*0.2,0),0)</f>
        <v>6390226</v>
      </c>
      <c r="AK963" s="1787"/>
      <c r="AL963" s="1787"/>
      <c r="AM963" s="1787"/>
      <c r="AN963" s="1787"/>
      <c r="AO963" s="1787"/>
      <c r="AP963" s="1787"/>
      <c r="AQ963" s="17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9" t="s">
        <v>1365</v>
      </c>
      <c r="E964" s="1830"/>
      <c r="F964" s="1830"/>
      <c r="G964" s="1830"/>
      <c r="H964" s="1830"/>
      <c r="I964" s="1830"/>
      <c r="J964" s="1830"/>
      <c r="K964" s="1830"/>
      <c r="L964" s="1830"/>
      <c r="M964" s="1830"/>
      <c r="N964" s="1830"/>
      <c r="O964" s="1830"/>
      <c r="P964" s="1830"/>
      <c r="Q964" s="1830"/>
      <c r="R964" s="1830"/>
      <c r="S964" s="1830"/>
      <c r="T964" s="1830"/>
      <c r="U964" s="1830"/>
      <c r="V964" s="1830"/>
      <c r="W964" s="1830"/>
      <c r="X964" s="1830"/>
      <c r="Y964" s="1830"/>
      <c r="Z964" s="1830"/>
      <c r="AA964" s="1830"/>
      <c r="AB964" s="1830"/>
      <c r="AC964" s="1830"/>
      <c r="AD964" s="1830"/>
      <c r="AE964" s="1831"/>
      <c r="AF964" s="73"/>
      <c r="AG964" s="14"/>
      <c r="AH964" s="14"/>
      <c r="AI964" s="83"/>
      <c r="AJ964" s="1789"/>
      <c r="AK964" s="1790"/>
      <c r="AL964" s="1790"/>
      <c r="AM964" s="1790"/>
      <c r="AN964" s="1790"/>
      <c r="AO964" s="1790"/>
      <c r="AP964" s="1790"/>
      <c r="AQ964" s="17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32" t="s">
        <v>2649</v>
      </c>
      <c r="E965" s="1833"/>
      <c r="F965" s="1833"/>
      <c r="G965" s="1833"/>
      <c r="H965" s="1833"/>
      <c r="I965" s="1833"/>
      <c r="J965" s="1833"/>
      <c r="K965" s="1833"/>
      <c r="L965" s="1833"/>
      <c r="M965" s="1833"/>
      <c r="N965" s="1833"/>
      <c r="O965" s="1833"/>
      <c r="P965" s="1833"/>
      <c r="Q965" s="1833"/>
      <c r="R965" s="1833"/>
      <c r="S965" s="1833"/>
      <c r="T965" s="1833"/>
      <c r="U965" s="1833"/>
      <c r="V965" s="1833"/>
      <c r="W965" s="1833"/>
      <c r="X965" s="1833"/>
      <c r="Y965" s="1833"/>
      <c r="Z965" s="1833"/>
      <c r="AA965" s="1833"/>
      <c r="AB965" s="1833"/>
      <c r="AC965" s="1833"/>
      <c r="AD965" s="1833"/>
      <c r="AE965" s="1834"/>
      <c r="AF965" s="77"/>
      <c r="AG965" s="7"/>
      <c r="AH965" s="7"/>
      <c r="AI965" s="78"/>
      <c r="AJ965" s="1792"/>
      <c r="AK965" s="1793"/>
      <c r="AL965" s="1793"/>
      <c r="AM965" s="1793"/>
      <c r="AN965" s="1793"/>
      <c r="AO965" s="1793"/>
      <c r="AP965" s="1793"/>
      <c r="AQ965" s="17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67" t="s">
        <v>1451</v>
      </c>
      <c r="E966" s="1768"/>
      <c r="F966" s="1768"/>
      <c r="G966" s="1768"/>
      <c r="H966" s="1768"/>
      <c r="I966" s="1768"/>
      <c r="J966" s="1768"/>
      <c r="K966" s="1768"/>
      <c r="L966" s="1768"/>
      <c r="M966" s="1768"/>
      <c r="N966" s="1768"/>
      <c r="O966" s="1768"/>
      <c r="P966" s="1768"/>
      <c r="Q966" s="1768"/>
      <c r="R966" s="1768"/>
      <c r="S966" s="1768"/>
      <c r="T966" s="1768"/>
      <c r="U966" s="1768"/>
      <c r="V966" s="1768"/>
      <c r="W966" s="1768"/>
      <c r="X966" s="1768"/>
      <c r="Y966" s="1768"/>
      <c r="Z966" s="1768"/>
      <c r="AA966" s="1768"/>
      <c r="AB966" s="1768"/>
      <c r="AC966" s="1768"/>
      <c r="AD966" s="1768"/>
      <c r="AE966" s="1769"/>
      <c r="AF966" s="79"/>
      <c r="AG966" s="1779" t="s">
        <v>679</v>
      </c>
      <c r="AH966" s="1780"/>
      <c r="AI966" s="87"/>
      <c r="AJ966" s="1786">
        <f>ROUND(IF(AG966="yes",AJ961*0.05,0),0)</f>
        <v>0</v>
      </c>
      <c r="AK966" s="1787"/>
      <c r="AL966" s="1787"/>
      <c r="AM966" s="1787"/>
      <c r="AN966" s="1787"/>
      <c r="AO966" s="1787"/>
      <c r="AP966" s="1787"/>
      <c r="AQ966" s="17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9" t="s">
        <v>1449</v>
      </c>
      <c r="E967" s="1830"/>
      <c r="F967" s="1830"/>
      <c r="G967" s="1830"/>
      <c r="H967" s="1830"/>
      <c r="I967" s="1830"/>
      <c r="J967" s="1830"/>
      <c r="K967" s="1830"/>
      <c r="L967" s="1830"/>
      <c r="M967" s="1830"/>
      <c r="N967" s="1830"/>
      <c r="O967" s="1830"/>
      <c r="P967" s="1830"/>
      <c r="Q967" s="1830"/>
      <c r="R967" s="1830"/>
      <c r="S967" s="1830"/>
      <c r="T967" s="1830"/>
      <c r="U967" s="1830"/>
      <c r="V967" s="1830"/>
      <c r="W967" s="1830"/>
      <c r="X967" s="1830"/>
      <c r="Y967" s="1830"/>
      <c r="Z967" s="1830"/>
      <c r="AA967" s="1830"/>
      <c r="AB967" s="1830"/>
      <c r="AC967" s="1830"/>
      <c r="AD967" s="1830"/>
      <c r="AE967" s="1831"/>
      <c r="AF967" s="73"/>
      <c r="AG967" s="14"/>
      <c r="AH967" s="14"/>
      <c r="AI967" s="83"/>
      <c r="AJ967" s="1789"/>
      <c r="AK967" s="1790"/>
      <c r="AL967" s="1790"/>
      <c r="AM967" s="1790"/>
      <c r="AN967" s="1790"/>
      <c r="AO967" s="1790"/>
      <c r="AP967" s="1790"/>
      <c r="AQ967" s="17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9"/>
      <c r="E968" s="1830"/>
      <c r="F968" s="1830"/>
      <c r="G968" s="1830"/>
      <c r="H968" s="1830"/>
      <c r="I968" s="1830"/>
      <c r="J968" s="1830"/>
      <c r="K968" s="1830"/>
      <c r="L968" s="1830"/>
      <c r="M968" s="1830"/>
      <c r="N968" s="1830"/>
      <c r="O968" s="1830"/>
      <c r="P968" s="1830"/>
      <c r="Q968" s="1830"/>
      <c r="R968" s="1830"/>
      <c r="S968" s="1830"/>
      <c r="T968" s="1830"/>
      <c r="U968" s="1830"/>
      <c r="V968" s="1830"/>
      <c r="W968" s="1830"/>
      <c r="X968" s="1830"/>
      <c r="Y968" s="1830"/>
      <c r="Z968" s="1830"/>
      <c r="AA968" s="1830"/>
      <c r="AB968" s="1830"/>
      <c r="AC968" s="1830"/>
      <c r="AD968" s="1830"/>
      <c r="AE968" s="1831"/>
      <c r="AF968" s="73"/>
      <c r="AG968" s="14"/>
      <c r="AH968" s="14"/>
      <c r="AI968" s="83"/>
      <c r="AJ968" s="1789"/>
      <c r="AK968" s="1790"/>
      <c r="AL968" s="1790"/>
      <c r="AM968" s="1790"/>
      <c r="AN968" s="1790"/>
      <c r="AO968" s="1790"/>
      <c r="AP968" s="1790"/>
      <c r="AQ968" s="17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9"/>
      <c r="E969" s="1830"/>
      <c r="F969" s="1830"/>
      <c r="G969" s="1830"/>
      <c r="H969" s="1830"/>
      <c r="I969" s="1830"/>
      <c r="J969" s="1830"/>
      <c r="K969" s="1830"/>
      <c r="L969" s="1830"/>
      <c r="M969" s="1830"/>
      <c r="N969" s="1830"/>
      <c r="O969" s="1830"/>
      <c r="P969" s="1830"/>
      <c r="Q969" s="1830"/>
      <c r="R969" s="1830"/>
      <c r="S969" s="1830"/>
      <c r="T969" s="1830"/>
      <c r="U969" s="1830"/>
      <c r="V969" s="1830"/>
      <c r="W969" s="1830"/>
      <c r="X969" s="1830"/>
      <c r="Y969" s="1830"/>
      <c r="Z969" s="1830"/>
      <c r="AA969" s="1830"/>
      <c r="AB969" s="1830"/>
      <c r="AC969" s="1830"/>
      <c r="AD969" s="1830"/>
      <c r="AE969" s="1831"/>
      <c r="AF969" s="73"/>
      <c r="AG969" s="14"/>
      <c r="AH969" s="14"/>
      <c r="AI969" s="83"/>
      <c r="AJ969" s="1789"/>
      <c r="AK969" s="1790"/>
      <c r="AL969" s="1790"/>
      <c r="AM969" s="1790"/>
      <c r="AN969" s="1790"/>
      <c r="AO969" s="1790"/>
      <c r="AP969" s="1790"/>
      <c r="AQ969" s="17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9"/>
      <c r="E970" s="1830"/>
      <c r="F970" s="1830"/>
      <c r="G970" s="1830"/>
      <c r="H970" s="1830"/>
      <c r="I970" s="1830"/>
      <c r="J970" s="1830"/>
      <c r="K970" s="1830"/>
      <c r="L970" s="1830"/>
      <c r="M970" s="1830"/>
      <c r="N970" s="1830"/>
      <c r="O970" s="1830"/>
      <c r="P970" s="1830"/>
      <c r="Q970" s="1830"/>
      <c r="R970" s="1830"/>
      <c r="S970" s="1830"/>
      <c r="T970" s="1830"/>
      <c r="U970" s="1830"/>
      <c r="V970" s="1830"/>
      <c r="W970" s="1830"/>
      <c r="X970" s="1830"/>
      <c r="Y970" s="1830"/>
      <c r="Z970" s="1830"/>
      <c r="AA970" s="1830"/>
      <c r="AB970" s="1830"/>
      <c r="AC970" s="1830"/>
      <c r="AD970" s="1830"/>
      <c r="AE970" s="1831"/>
      <c r="AF970" s="73"/>
      <c r="AG970" s="14"/>
      <c r="AH970" s="14"/>
      <c r="AI970" s="83"/>
      <c r="AJ970" s="1789"/>
      <c r="AK970" s="1790"/>
      <c r="AL970" s="1790"/>
      <c r="AM970" s="1790"/>
      <c r="AN970" s="1790"/>
      <c r="AO970" s="1790"/>
      <c r="AP970" s="1790"/>
      <c r="AQ970" s="17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35"/>
      <c r="E971" s="1836"/>
      <c r="F971" s="1836"/>
      <c r="G971" s="1836"/>
      <c r="H971" s="1836"/>
      <c r="I971" s="1836"/>
      <c r="J971" s="1836"/>
      <c r="K971" s="1836"/>
      <c r="L971" s="1836"/>
      <c r="M971" s="1836"/>
      <c r="N971" s="1836"/>
      <c r="O971" s="1836"/>
      <c r="P971" s="1836"/>
      <c r="Q971" s="1836"/>
      <c r="R971" s="1836"/>
      <c r="S971" s="1836"/>
      <c r="T971" s="1836"/>
      <c r="U971" s="1836"/>
      <c r="V971" s="1836"/>
      <c r="W971" s="1836"/>
      <c r="X971" s="1836"/>
      <c r="Y971" s="1836"/>
      <c r="Z971" s="1836"/>
      <c r="AA971" s="1836"/>
      <c r="AB971" s="1836"/>
      <c r="AC971" s="1836"/>
      <c r="AD971" s="1836"/>
      <c r="AE971" s="1837"/>
      <c r="AF971" s="77"/>
      <c r="AG971" s="7"/>
      <c r="AH971" s="7"/>
      <c r="AI971" s="78"/>
      <c r="AJ971" s="1792"/>
      <c r="AK971" s="1793"/>
      <c r="AL971" s="1793"/>
      <c r="AM971" s="1793"/>
      <c r="AN971" s="1793"/>
      <c r="AO971" s="1793"/>
      <c r="AP971" s="1793"/>
      <c r="AQ971" s="17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67" t="s">
        <v>1944</v>
      </c>
      <c r="E972" s="1768"/>
      <c r="F972" s="1768"/>
      <c r="G972" s="1768"/>
      <c r="H972" s="1768"/>
      <c r="I972" s="1768"/>
      <c r="J972" s="1768"/>
      <c r="K972" s="1768"/>
      <c r="L972" s="1768"/>
      <c r="M972" s="1768"/>
      <c r="N972" s="1768"/>
      <c r="O972" s="1768"/>
      <c r="P972" s="1768"/>
      <c r="Q972" s="1768"/>
      <c r="R972" s="1768"/>
      <c r="S972" s="1768"/>
      <c r="T972" s="1768"/>
      <c r="U972" s="1768"/>
      <c r="V972" s="1768"/>
      <c r="W972" s="1768"/>
      <c r="X972" s="1768"/>
      <c r="Y972" s="1768"/>
      <c r="Z972" s="1768"/>
      <c r="AA972" s="1768"/>
      <c r="AB972" s="1768"/>
      <c r="AC972" s="1768"/>
      <c r="AD972" s="1768"/>
      <c r="AE972" s="1769"/>
      <c r="AF972" s="86"/>
      <c r="AG972" s="1779" t="s">
        <v>679</v>
      </c>
      <c r="AH972" s="1780"/>
      <c r="AI972" s="87"/>
      <c r="AJ972" s="1786">
        <f>ROUND(IF(AG972="yes",AJ961*0.1,0),0)</f>
        <v>0</v>
      </c>
      <c r="AK972" s="1787"/>
      <c r="AL972" s="1787"/>
      <c r="AM972" s="1787"/>
      <c r="AN972" s="1787"/>
      <c r="AO972" s="1787"/>
      <c r="AP972" s="1787"/>
      <c r="AQ972" s="17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70" t="s">
        <v>1450</v>
      </c>
      <c r="E973" s="1771"/>
      <c r="F973" s="1771"/>
      <c r="G973" s="1771"/>
      <c r="H973" s="1771"/>
      <c r="I973" s="1771"/>
      <c r="J973" s="1771"/>
      <c r="K973" s="1771"/>
      <c r="L973" s="1771"/>
      <c r="M973" s="1771"/>
      <c r="N973" s="1771"/>
      <c r="O973" s="1771"/>
      <c r="P973" s="1771"/>
      <c r="Q973" s="1771"/>
      <c r="R973" s="1771"/>
      <c r="S973" s="1771"/>
      <c r="T973" s="1771"/>
      <c r="U973" s="1771"/>
      <c r="V973" s="1771"/>
      <c r="W973" s="1771"/>
      <c r="X973" s="1771"/>
      <c r="Y973" s="1771"/>
      <c r="Z973" s="1771"/>
      <c r="AA973" s="1771"/>
      <c r="AB973" s="1771"/>
      <c r="AC973" s="1771"/>
      <c r="AD973" s="1771"/>
      <c r="AE973" s="1772"/>
      <c r="AF973" s="73"/>
      <c r="AI973" s="83"/>
      <c r="AJ973" s="1789"/>
      <c r="AK973" s="1790"/>
      <c r="AL973" s="1790"/>
      <c r="AM973" s="1790"/>
      <c r="AN973" s="1790"/>
      <c r="AO973" s="1790"/>
      <c r="AP973" s="1790"/>
      <c r="AQ973" s="1791"/>
      <c r="AR973" s="68"/>
      <c r="AS973" s="68"/>
      <c r="AT973" s="68"/>
      <c r="AU973" s="68"/>
      <c r="AV973" s="68"/>
      <c r="AW973" s="68"/>
      <c r="AX973" s="68"/>
      <c r="AY973" s="68"/>
      <c r="AZ973" s="34"/>
      <c r="BA973" s="951">
        <f>G739+O782</f>
        <v>69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70"/>
      <c r="E974" s="1771"/>
      <c r="F974" s="1771"/>
      <c r="G974" s="1771"/>
      <c r="H974" s="1771"/>
      <c r="I974" s="1771"/>
      <c r="J974" s="1771"/>
      <c r="K974" s="1771"/>
      <c r="L974" s="1771"/>
      <c r="M974" s="1771"/>
      <c r="N974" s="1771"/>
      <c r="O974" s="1771"/>
      <c r="P974" s="1771"/>
      <c r="Q974" s="1771"/>
      <c r="R974" s="1771"/>
      <c r="S974" s="1771"/>
      <c r="T974" s="1771"/>
      <c r="U974" s="1771"/>
      <c r="V974" s="1771"/>
      <c r="W974" s="1771"/>
      <c r="X974" s="1771"/>
      <c r="Y974" s="1771"/>
      <c r="Z974" s="1771"/>
      <c r="AA974" s="1771"/>
      <c r="AB974" s="1771"/>
      <c r="AC974" s="1771"/>
      <c r="AD974" s="1771"/>
      <c r="AE974" s="1772"/>
      <c r="AF974" s="73"/>
      <c r="AG974" s="14"/>
      <c r="AH974" s="14"/>
      <c r="AI974" s="83"/>
      <c r="AJ974" s="1789"/>
      <c r="AK974" s="1790"/>
      <c r="AL974" s="1790"/>
      <c r="AM974" s="1790"/>
      <c r="AN974" s="1790"/>
      <c r="AO974" s="1790"/>
      <c r="AP974" s="1790"/>
      <c r="AQ974" s="17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3"/>
      <c r="E975" s="1784"/>
      <c r="F975" s="1784"/>
      <c r="G975" s="1784"/>
      <c r="H975" s="1784"/>
      <c r="I975" s="1784"/>
      <c r="J975" s="1784"/>
      <c r="K975" s="1784"/>
      <c r="L975" s="1784"/>
      <c r="M975" s="1784"/>
      <c r="N975" s="1784"/>
      <c r="O975" s="1784"/>
      <c r="P975" s="1784"/>
      <c r="Q975" s="1784"/>
      <c r="R975" s="1784"/>
      <c r="S975" s="1784"/>
      <c r="T975" s="1784"/>
      <c r="U975" s="1784"/>
      <c r="V975" s="1784"/>
      <c r="W975" s="1784"/>
      <c r="X975" s="1784"/>
      <c r="Y975" s="1784"/>
      <c r="Z975" s="1784"/>
      <c r="AA975" s="1784"/>
      <c r="AB975" s="1784"/>
      <c r="AC975" s="1784"/>
      <c r="AD975" s="1784"/>
      <c r="AE975" s="1785"/>
      <c r="AF975" s="77"/>
      <c r="AG975" s="7"/>
      <c r="AH975" s="7"/>
      <c r="AI975" s="78"/>
      <c r="AJ975" s="1792"/>
      <c r="AK975" s="1793"/>
      <c r="AL975" s="1793"/>
      <c r="AM975" s="1793"/>
      <c r="AN975" s="1793"/>
      <c r="AO975" s="1793"/>
      <c r="AP975" s="1793"/>
      <c r="AQ975" s="1794"/>
      <c r="AR975" s="68"/>
      <c r="AS975" s="68"/>
      <c r="AT975" s="68"/>
      <c r="AU975" s="68"/>
      <c r="AV975" s="68"/>
      <c r="AW975" s="68"/>
      <c r="AX975" s="68"/>
      <c r="AY975" s="68"/>
      <c r="AZ975" s="34"/>
      <c r="BA975" s="950">
        <f>ROUNDDOWN(X1013/I1013,2)</f>
        <v>0.44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67" t="s">
        <v>1452</v>
      </c>
      <c r="E976" s="1768"/>
      <c r="F976" s="1768"/>
      <c r="G976" s="1768"/>
      <c r="H976" s="1768"/>
      <c r="I976" s="1768"/>
      <c r="J976" s="1768"/>
      <c r="K976" s="1768"/>
      <c r="L976" s="1768"/>
      <c r="M976" s="1768"/>
      <c r="N976" s="1768"/>
      <c r="O976" s="1768"/>
      <c r="P976" s="1768"/>
      <c r="Q976" s="1768"/>
      <c r="R976" s="1768"/>
      <c r="S976" s="1768"/>
      <c r="T976" s="1768"/>
      <c r="U976" s="1768"/>
      <c r="V976" s="1768"/>
      <c r="W976" s="1768"/>
      <c r="X976" s="1768"/>
      <c r="Y976" s="1768"/>
      <c r="Z976" s="1768"/>
      <c r="AA976" s="1768"/>
      <c r="AB976" s="1768"/>
      <c r="AC976" s="1768"/>
      <c r="AD976" s="1768"/>
      <c r="AE976" s="1769"/>
      <c r="AF976" s="79"/>
      <c r="AG976" s="1779" t="s">
        <v>679</v>
      </c>
      <c r="AH976" s="1780"/>
      <c r="AI976" s="87"/>
      <c r="AJ976" s="1786">
        <f>ROUND(IF(AG976="yes",AJ961*0.02,0),0)</f>
        <v>0</v>
      </c>
      <c r="AK976" s="1787"/>
      <c r="AL976" s="1787"/>
      <c r="AM976" s="1787"/>
      <c r="AN976" s="1787"/>
      <c r="AO976" s="1787"/>
      <c r="AP976" s="1787"/>
      <c r="AQ976" s="1788"/>
      <c r="AR976" s="68"/>
      <c r="AS976" s="68"/>
      <c r="AT976" s="68"/>
      <c r="AU976" s="68"/>
      <c r="AV976" s="68"/>
      <c r="AW976" s="68"/>
      <c r="AX976" s="68"/>
      <c r="AY976" s="68"/>
      <c r="AZ976" s="34"/>
      <c r="BA976" s="950">
        <f>ROUNDDOWN(X1017/I1017,2)</f>
        <v>0.26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3" t="s">
        <v>1453</v>
      </c>
      <c r="E977" s="1784"/>
      <c r="F977" s="1784"/>
      <c r="G977" s="1784"/>
      <c r="H977" s="1784"/>
      <c r="I977" s="1784"/>
      <c r="J977" s="1784"/>
      <c r="K977" s="1784"/>
      <c r="L977" s="1784"/>
      <c r="M977" s="1784"/>
      <c r="N977" s="1784"/>
      <c r="O977" s="1784"/>
      <c r="P977" s="1784"/>
      <c r="Q977" s="1784"/>
      <c r="R977" s="1784"/>
      <c r="S977" s="1784"/>
      <c r="T977" s="1784"/>
      <c r="U977" s="1784"/>
      <c r="V977" s="1784"/>
      <c r="W977" s="1784"/>
      <c r="X977" s="1784"/>
      <c r="Y977" s="1784"/>
      <c r="Z977" s="1784"/>
      <c r="AA977" s="1784"/>
      <c r="AB977" s="1784"/>
      <c r="AC977" s="1784"/>
      <c r="AD977" s="1784"/>
      <c r="AE977" s="1785"/>
      <c r="AF977" s="77"/>
      <c r="AG977" s="7"/>
      <c r="AH977" s="7"/>
      <c r="AI977" s="78"/>
      <c r="AJ977" s="1792"/>
      <c r="AK977" s="1793"/>
      <c r="AL977" s="1793"/>
      <c r="AM977" s="1793"/>
      <c r="AN977" s="1793"/>
      <c r="AO977" s="1793"/>
      <c r="AP977" s="1793"/>
      <c r="AQ977" s="1794"/>
      <c r="AR977" s="68"/>
      <c r="AS977" s="68"/>
      <c r="AT977" s="68"/>
      <c r="AU977" s="68"/>
      <c r="AV977" s="68"/>
      <c r="AW977" s="68"/>
      <c r="AX977" s="68"/>
      <c r="AY977" s="68"/>
      <c r="BB977" s="34"/>
      <c r="BC977" s="34"/>
      <c r="BD977" s="34"/>
      <c r="BE977" s="34"/>
      <c r="BF977" s="34"/>
    </row>
    <row r="978" spans="1:58" ht="12.95" customHeight="1">
      <c r="A978" s="14"/>
      <c r="B978" s="79"/>
      <c r="C978" s="80" t="s">
        <v>217</v>
      </c>
      <c r="D978" s="1767" t="s">
        <v>1454</v>
      </c>
      <c r="E978" s="1768"/>
      <c r="F978" s="1768"/>
      <c r="G978" s="1768"/>
      <c r="H978" s="1768"/>
      <c r="I978" s="1768"/>
      <c r="J978" s="1768"/>
      <c r="K978" s="1768"/>
      <c r="L978" s="1768"/>
      <c r="M978" s="1768"/>
      <c r="N978" s="1768"/>
      <c r="O978" s="1768"/>
      <c r="P978" s="1768"/>
      <c r="Q978" s="1768"/>
      <c r="R978" s="1768"/>
      <c r="S978" s="1768"/>
      <c r="T978" s="1768"/>
      <c r="U978" s="1768"/>
      <c r="V978" s="1768"/>
      <c r="W978" s="1768"/>
      <c r="X978" s="1768"/>
      <c r="Y978" s="1768"/>
      <c r="Z978" s="1768"/>
      <c r="AA978" s="1768"/>
      <c r="AB978" s="1768"/>
      <c r="AC978" s="1768"/>
      <c r="AD978" s="1768"/>
      <c r="AE978" s="1769"/>
      <c r="AF978" s="79"/>
      <c r="AG978" s="1779" t="s">
        <v>679</v>
      </c>
      <c r="AH978" s="1780"/>
      <c r="AI978" s="79"/>
      <c r="AJ978" s="1786">
        <f>ROUND(IF(AG978="yes",AJ961*0.02,0),0)</f>
        <v>0</v>
      </c>
      <c r="AK978" s="1787"/>
      <c r="AL978" s="1787"/>
      <c r="AM978" s="1787"/>
      <c r="AN978" s="1787"/>
      <c r="AO978" s="1787"/>
      <c r="AP978" s="1787"/>
      <c r="AQ978" s="1788"/>
      <c r="AR978" s="68"/>
      <c r="AS978" s="68"/>
      <c r="AT978" s="68"/>
      <c r="AU978" s="68"/>
      <c r="AV978" s="68"/>
      <c r="AW978" s="68"/>
      <c r="AX978" s="68"/>
      <c r="AY978" s="68"/>
    </row>
    <row r="979" spans="1:58" ht="12.95" customHeight="1">
      <c r="A979" s="14"/>
      <c r="B979" s="73"/>
      <c r="C979" s="74"/>
      <c r="D979" s="1770" t="s">
        <v>1455</v>
      </c>
      <c r="E979" s="1771"/>
      <c r="F979" s="1771"/>
      <c r="G979" s="1771"/>
      <c r="H979" s="1771"/>
      <c r="I979" s="1771"/>
      <c r="J979" s="1771"/>
      <c r="K979" s="1771"/>
      <c r="L979" s="1771"/>
      <c r="M979" s="1771"/>
      <c r="N979" s="1771"/>
      <c r="O979" s="1771"/>
      <c r="P979" s="1771"/>
      <c r="Q979" s="1771"/>
      <c r="R979" s="1771"/>
      <c r="S979" s="1771"/>
      <c r="T979" s="1771"/>
      <c r="U979" s="1771"/>
      <c r="V979" s="1771"/>
      <c r="W979" s="1771"/>
      <c r="X979" s="1771"/>
      <c r="Y979" s="1771"/>
      <c r="Z979" s="1771"/>
      <c r="AA979" s="1771"/>
      <c r="AB979" s="1771"/>
      <c r="AC979" s="1771"/>
      <c r="AD979" s="1771"/>
      <c r="AE979" s="1772"/>
      <c r="AF979" s="73"/>
      <c r="AI979" s="14"/>
      <c r="AJ979" s="1789"/>
      <c r="AK979" s="1790"/>
      <c r="AL979" s="1790"/>
      <c r="AM979" s="1790"/>
      <c r="AN979" s="1790"/>
      <c r="AO979" s="1790"/>
      <c r="AP979" s="1790"/>
      <c r="AQ979" s="1791"/>
      <c r="AR979" s="68"/>
      <c r="AS979" s="68"/>
      <c r="AT979" s="68"/>
      <c r="AU979" s="68"/>
      <c r="AV979" s="68"/>
      <c r="AW979" s="68"/>
      <c r="AX979" s="68"/>
      <c r="AY979" s="68"/>
    </row>
    <row r="980" spans="1:58" ht="12.95" customHeight="1">
      <c r="A980" s="14"/>
      <c r="B980" s="75"/>
      <c r="C980" s="76"/>
      <c r="D980" s="1783"/>
      <c r="E980" s="1784"/>
      <c r="F980" s="1784"/>
      <c r="G980" s="1784"/>
      <c r="H980" s="1784"/>
      <c r="I980" s="1784"/>
      <c r="J980" s="1784"/>
      <c r="K980" s="1784"/>
      <c r="L980" s="1784"/>
      <c r="M980" s="1784"/>
      <c r="N980" s="1784"/>
      <c r="O980" s="1784"/>
      <c r="P980" s="1784"/>
      <c r="Q980" s="1784"/>
      <c r="R980" s="1784"/>
      <c r="S980" s="1784"/>
      <c r="T980" s="1784"/>
      <c r="U980" s="1784"/>
      <c r="V980" s="1784"/>
      <c r="W980" s="1784"/>
      <c r="X980" s="1784"/>
      <c r="Y980" s="1784"/>
      <c r="Z980" s="1784"/>
      <c r="AA980" s="1784"/>
      <c r="AB980" s="1784"/>
      <c r="AC980" s="1784"/>
      <c r="AD980" s="1784"/>
      <c r="AE980" s="1785"/>
      <c r="AF980" s="77"/>
      <c r="AG980" s="7"/>
      <c r="AH980" s="7"/>
      <c r="AI980" s="78"/>
      <c r="AJ980" s="1792"/>
      <c r="AK980" s="1793"/>
      <c r="AL980" s="1793"/>
      <c r="AM980" s="1793"/>
      <c r="AN980" s="1793"/>
      <c r="AO980" s="1793"/>
      <c r="AP980" s="1793"/>
      <c r="AQ980" s="1794"/>
      <c r="AR980" s="68"/>
      <c r="AS980" s="68"/>
      <c r="AT980" s="68"/>
      <c r="AU980" s="68"/>
      <c r="AV980" s="68"/>
      <c r="AW980" s="68"/>
      <c r="AX980" s="68"/>
      <c r="AY980" s="68"/>
    </row>
    <row r="981" spans="1:58" ht="12.95" customHeight="1">
      <c r="A981" s="14"/>
      <c r="B981" s="79"/>
      <c r="C981" s="80" t="s">
        <v>220</v>
      </c>
      <c r="D981" s="1806" t="s">
        <v>1456</v>
      </c>
      <c r="E981" s="1807"/>
      <c r="F981" s="1807"/>
      <c r="G981" s="1807"/>
      <c r="H981" s="1807"/>
      <c r="I981" s="1807"/>
      <c r="J981" s="1807"/>
      <c r="K981" s="1807"/>
      <c r="L981" s="1807"/>
      <c r="M981" s="1807"/>
      <c r="N981" s="1807"/>
      <c r="O981" s="1807"/>
      <c r="P981" s="1807"/>
      <c r="Q981" s="1807"/>
      <c r="R981" s="1807"/>
      <c r="S981" s="1807"/>
      <c r="T981" s="1807"/>
      <c r="U981" s="1807"/>
      <c r="V981" s="1807"/>
      <c r="W981" s="1807"/>
      <c r="X981" s="1807"/>
      <c r="Y981" s="1807"/>
      <c r="Z981" s="1807"/>
      <c r="AA981" s="1807"/>
      <c r="AB981" s="1807"/>
      <c r="AC981" s="1807"/>
      <c r="AD981" s="1807"/>
      <c r="AE981" s="1808"/>
      <c r="AF981" s="79"/>
      <c r="AG981" s="1779" t="s">
        <v>679</v>
      </c>
      <c r="AH981" s="1780"/>
      <c r="AI981" s="87"/>
      <c r="AJ981" s="1786">
        <f>IF(AG981="yes",AJ961*BA981,0)</f>
        <v>0</v>
      </c>
      <c r="AK981" s="1787"/>
      <c r="AL981" s="1787"/>
      <c r="AM981" s="1787"/>
      <c r="AN981" s="1787"/>
      <c r="AO981" s="1787"/>
      <c r="AP981" s="1787"/>
      <c r="AQ981" s="1788"/>
      <c r="AR981" s="68"/>
      <c r="AS981" s="68"/>
      <c r="AT981" s="68"/>
      <c r="AU981" s="68"/>
      <c r="AV981" s="68"/>
      <c r="AW981" s="68"/>
      <c r="AX981" s="68"/>
      <c r="AY981" s="68"/>
      <c r="BA981" s="215">
        <f>IF(SUM(BA983:BA991)&lt;=0.1,SUM(BA983:BA991),0.1)</f>
        <v>0</v>
      </c>
    </row>
    <row r="982" spans="1:58" ht="12.95" customHeight="1">
      <c r="A982" s="14"/>
      <c r="B982" s="73"/>
      <c r="C982" s="74"/>
      <c r="D982" s="1770" t="s">
        <v>1457</v>
      </c>
      <c r="E982" s="1771"/>
      <c r="F982" s="1771"/>
      <c r="G982" s="1771"/>
      <c r="H982" s="1771"/>
      <c r="I982" s="1771"/>
      <c r="J982" s="1771"/>
      <c r="K982" s="1771"/>
      <c r="L982" s="1771"/>
      <c r="M982" s="1771"/>
      <c r="N982" s="1771"/>
      <c r="O982" s="1771"/>
      <c r="P982" s="1771"/>
      <c r="Q982" s="1771"/>
      <c r="R982" s="1771"/>
      <c r="S982" s="1771"/>
      <c r="T982" s="1771"/>
      <c r="U982" s="1771"/>
      <c r="V982" s="1771"/>
      <c r="W982" s="1771"/>
      <c r="X982" s="1771"/>
      <c r="Y982" s="1771"/>
      <c r="Z982" s="1771"/>
      <c r="AA982" s="1771"/>
      <c r="AB982" s="1771"/>
      <c r="AC982" s="1771"/>
      <c r="AD982" s="1771"/>
      <c r="AE982" s="1772"/>
      <c r="AF982" s="73"/>
      <c r="AG982" s="14"/>
      <c r="AH982" s="14"/>
      <c r="AI982" s="83"/>
      <c r="AJ982" s="1789"/>
      <c r="AK982" s="1790"/>
      <c r="AL982" s="1790"/>
      <c r="AM982" s="1790"/>
      <c r="AN982" s="1790"/>
      <c r="AO982" s="1790"/>
      <c r="AP982" s="1790"/>
      <c r="AQ982" s="1791"/>
      <c r="AR982" s="68"/>
      <c r="AS982" s="68"/>
      <c r="AT982" s="68"/>
      <c r="AU982" s="68"/>
      <c r="AV982" s="68"/>
      <c r="AW982" s="68"/>
      <c r="AX982" s="68"/>
      <c r="AY982" s="68"/>
    </row>
    <row r="983" spans="1:58" ht="12.95" customHeight="1">
      <c r="A983" s="14"/>
      <c r="B983" s="73"/>
      <c r="C983" s="74"/>
      <c r="D983" s="1770"/>
      <c r="E983" s="1771"/>
      <c r="F983" s="1771"/>
      <c r="G983" s="1771"/>
      <c r="H983" s="1771"/>
      <c r="I983" s="1771"/>
      <c r="J983" s="1771"/>
      <c r="K983" s="1771"/>
      <c r="L983" s="1771"/>
      <c r="M983" s="1771"/>
      <c r="N983" s="1771"/>
      <c r="O983" s="1771"/>
      <c r="P983" s="1771"/>
      <c r="Q983" s="1771"/>
      <c r="R983" s="1771"/>
      <c r="S983" s="1771"/>
      <c r="T983" s="1771"/>
      <c r="U983" s="1771"/>
      <c r="V983" s="1771"/>
      <c r="W983" s="1771"/>
      <c r="X983" s="1771"/>
      <c r="Y983" s="1771"/>
      <c r="Z983" s="1771"/>
      <c r="AA983" s="1771"/>
      <c r="AB983" s="1771"/>
      <c r="AC983" s="1771"/>
      <c r="AD983" s="1771"/>
      <c r="AE983" s="1772"/>
      <c r="AF983" s="73"/>
      <c r="AG983" s="14"/>
      <c r="AH983" s="14"/>
      <c r="AI983" s="83"/>
      <c r="AJ983" s="1789"/>
      <c r="AK983" s="1790"/>
      <c r="AL983" s="1790"/>
      <c r="AM983" s="1790"/>
      <c r="AN983" s="1790"/>
      <c r="AO983" s="1790"/>
      <c r="AP983" s="1790"/>
      <c r="AQ983" s="1791"/>
      <c r="AR983" s="68"/>
      <c r="AS983" s="68"/>
      <c r="AT983" s="68"/>
      <c r="AU983" s="68"/>
      <c r="AV983" s="68"/>
      <c r="AW983" s="68"/>
      <c r="AX983" s="68"/>
      <c r="AY983" s="68"/>
      <c r="BA983" s="213">
        <f>IF(A1030="Yes",0.05,0)</f>
        <v>0</v>
      </c>
    </row>
    <row r="984" spans="1:58" ht="12.95" customHeight="1">
      <c r="A984" s="14"/>
      <c r="B984" s="81"/>
      <c r="C984" s="82"/>
      <c r="D984" s="1783"/>
      <c r="E984" s="1784"/>
      <c r="F984" s="1784"/>
      <c r="G984" s="1784"/>
      <c r="H984" s="1784"/>
      <c r="I984" s="1784"/>
      <c r="J984" s="1784"/>
      <c r="K984" s="1784"/>
      <c r="L984" s="1784"/>
      <c r="M984" s="1784"/>
      <c r="N984" s="1784"/>
      <c r="O984" s="1784"/>
      <c r="P984" s="1784"/>
      <c r="Q984" s="1784"/>
      <c r="R984" s="1784"/>
      <c r="S984" s="1784"/>
      <c r="T984" s="1784"/>
      <c r="U984" s="1784"/>
      <c r="V984" s="1784"/>
      <c r="W984" s="1784"/>
      <c r="X984" s="1784"/>
      <c r="Y984" s="1784"/>
      <c r="Z984" s="1784"/>
      <c r="AA984" s="1784"/>
      <c r="AB984" s="1784"/>
      <c r="AC984" s="1784"/>
      <c r="AD984" s="1784"/>
      <c r="AE984" s="1785"/>
      <c r="AF984" s="77"/>
      <c r="AG984" s="7"/>
      <c r="AH984" s="7"/>
      <c r="AI984" s="78"/>
      <c r="AJ984" s="1792"/>
      <c r="AK984" s="1793"/>
      <c r="AL984" s="1793"/>
      <c r="AM984" s="1793"/>
      <c r="AN984" s="1793"/>
      <c r="AO984" s="1793"/>
      <c r="AP984" s="1793"/>
      <c r="AQ984" s="1794"/>
      <c r="AR984" s="68"/>
      <c r="AS984" s="68"/>
      <c r="AT984" s="68"/>
      <c r="AU984" s="68"/>
      <c r="AV984" s="68"/>
      <c r="AW984" s="68"/>
      <c r="AX984" s="68"/>
      <c r="AY984" s="68"/>
      <c r="BA984" s="213">
        <f>IF(A1036="Yes",0.02,0)</f>
        <v>0</v>
      </c>
    </row>
    <row r="985" spans="1:58" ht="12.95" customHeight="1">
      <c r="A985" s="14"/>
      <c r="B985" s="79"/>
      <c r="C985" s="80" t="s">
        <v>225</v>
      </c>
      <c r="D985" s="1838" t="s">
        <v>1458</v>
      </c>
      <c r="E985" s="1839"/>
      <c r="F985" s="1839"/>
      <c r="G985" s="1839"/>
      <c r="H985" s="1839"/>
      <c r="I985" s="1839"/>
      <c r="J985" s="1839"/>
      <c r="K985" s="1839"/>
      <c r="L985" s="1839"/>
      <c r="M985" s="1839"/>
      <c r="N985" s="1839"/>
      <c r="O985" s="1839"/>
      <c r="P985" s="1839"/>
      <c r="Q985" s="1839"/>
      <c r="R985" s="1839"/>
      <c r="S985" s="1839"/>
      <c r="T985" s="1839"/>
      <c r="U985" s="1839"/>
      <c r="V985" s="1839"/>
      <c r="W985" s="1839"/>
      <c r="X985" s="1839"/>
      <c r="Y985" s="1839"/>
      <c r="Z985" s="1839"/>
      <c r="AA985" s="1839"/>
      <c r="AB985" s="1839"/>
      <c r="AC985" s="1839"/>
      <c r="AD985" s="1839"/>
      <c r="AE985" s="1840"/>
      <c r="AF985" s="79"/>
      <c r="AG985" s="1779" t="s">
        <v>679</v>
      </c>
      <c r="AH985" s="1780"/>
      <c r="AI985" s="87"/>
      <c r="AJ985" s="1786">
        <f>ROUND(IF(AG985="Yes",MIN(AF988,(0.15*AJ961)),0),0)</f>
        <v>0</v>
      </c>
      <c r="AK985" s="1787"/>
      <c r="AL985" s="1787"/>
      <c r="AM985" s="1787"/>
      <c r="AN985" s="1787"/>
      <c r="AO985" s="1787"/>
      <c r="AP985" s="1787"/>
      <c r="AQ985" s="1788"/>
      <c r="AR985" s="68"/>
      <c r="AS985" s="68"/>
      <c r="AT985" s="68"/>
      <c r="AU985" s="68"/>
      <c r="AV985" s="68"/>
      <c r="AW985" s="68"/>
      <c r="AX985" s="68"/>
      <c r="AY985" s="68"/>
      <c r="BA985" s="213">
        <f>IF(A1042="Yes",0.04,0)</f>
        <v>0</v>
      </c>
    </row>
    <row r="986" spans="1:58" ht="12.95" customHeight="1">
      <c r="A986" s="14"/>
      <c r="B986" s="81"/>
      <c r="C986" s="84"/>
      <c r="D986" s="1841"/>
      <c r="E986" s="1842"/>
      <c r="F986" s="1842"/>
      <c r="G986" s="1842"/>
      <c r="H986" s="1842"/>
      <c r="I986" s="1842"/>
      <c r="J986" s="1842"/>
      <c r="K986" s="1842"/>
      <c r="L986" s="1842"/>
      <c r="M986" s="1842"/>
      <c r="N986" s="1842"/>
      <c r="O986" s="1842"/>
      <c r="P986" s="1842"/>
      <c r="Q986" s="1842"/>
      <c r="R986" s="1842"/>
      <c r="S986" s="1842"/>
      <c r="T986" s="1842"/>
      <c r="U986" s="1842"/>
      <c r="V986" s="1842"/>
      <c r="W986" s="1842"/>
      <c r="X986" s="1842"/>
      <c r="Y986" s="1842"/>
      <c r="Z986" s="1842"/>
      <c r="AA986" s="1842"/>
      <c r="AB986" s="1842"/>
      <c r="AC986" s="1842"/>
      <c r="AD986" s="1842"/>
      <c r="AE986" s="1843"/>
      <c r="AF986" s="1852" t="str">
        <f>IF(AG985="yes","Please Select Type and Enter Amount:","")</f>
        <v/>
      </c>
      <c r="AG986" s="1853"/>
      <c r="AH986" s="1853"/>
      <c r="AI986" s="1854"/>
      <c r="AJ986" s="1789"/>
      <c r="AK986" s="1790"/>
      <c r="AL986" s="1790"/>
      <c r="AM986" s="1790"/>
      <c r="AN986" s="1790"/>
      <c r="AO986" s="1790"/>
      <c r="AP986" s="1790"/>
      <c r="AQ986" s="1791"/>
      <c r="AR986" s="68"/>
      <c r="AS986" s="68"/>
      <c r="AT986" s="68"/>
      <c r="AU986" s="68"/>
      <c r="AV986" s="68"/>
      <c r="AW986" s="68"/>
      <c r="AX986" s="68"/>
      <c r="AY986" s="68"/>
      <c r="BA986" s="213">
        <f>IF(A1049="Yes",0.04,0)</f>
        <v>0</v>
      </c>
    </row>
    <row r="987" spans="1:58" ht="12.95" customHeight="1">
      <c r="A987" s="14"/>
      <c r="B987" s="81"/>
      <c r="C987" s="84"/>
      <c r="D987" s="1770" t="s">
        <v>1459</v>
      </c>
      <c r="E987" s="1771"/>
      <c r="F987" s="1771"/>
      <c r="G987" s="1771"/>
      <c r="H987" s="1771"/>
      <c r="I987" s="1771"/>
      <c r="J987" s="1771"/>
      <c r="K987" s="1771"/>
      <c r="L987" s="1771"/>
      <c r="M987" s="1771"/>
      <c r="N987" s="1771"/>
      <c r="O987" s="1771"/>
      <c r="P987" s="1771"/>
      <c r="Q987" s="1771"/>
      <c r="R987" s="1771"/>
      <c r="S987" s="1771"/>
      <c r="T987" s="1771"/>
      <c r="U987" s="1771"/>
      <c r="V987" s="1771"/>
      <c r="W987" s="1771"/>
      <c r="X987" s="1771"/>
      <c r="Y987" s="1771"/>
      <c r="Z987" s="1771"/>
      <c r="AA987" s="1771"/>
      <c r="AB987" s="1771"/>
      <c r="AC987" s="1771"/>
      <c r="AD987" s="1771"/>
      <c r="AE987" s="1772"/>
      <c r="AF987" s="1852"/>
      <c r="AG987" s="1853"/>
      <c r="AH987" s="1853"/>
      <c r="AI987" s="1854"/>
      <c r="AJ987" s="1789"/>
      <c r="AK987" s="1790"/>
      <c r="AL987" s="1790"/>
      <c r="AM987" s="1790"/>
      <c r="AN987" s="1790"/>
      <c r="AO987" s="1790"/>
      <c r="AP987" s="1790"/>
      <c r="AQ987" s="1791"/>
      <c r="AR987" s="68"/>
      <c r="AS987" s="68"/>
      <c r="AT987" s="68"/>
      <c r="AU987" s="68"/>
      <c r="AV987" s="68"/>
      <c r="AW987" s="68"/>
      <c r="AX987" s="68"/>
      <c r="AY987" s="68"/>
      <c r="BA987" s="213">
        <f>IF(A1052="Yes",0.01,0)</f>
        <v>0</v>
      </c>
    </row>
    <row r="988" spans="1:58" ht="12.95" customHeight="1">
      <c r="A988" s="14"/>
      <c r="B988" s="81"/>
      <c r="C988" s="84"/>
      <c r="D988" s="1770"/>
      <c r="E988" s="1771"/>
      <c r="F988" s="1771"/>
      <c r="G988" s="1771"/>
      <c r="H988" s="1771"/>
      <c r="I988" s="1771"/>
      <c r="J988" s="1771"/>
      <c r="K988" s="1771"/>
      <c r="L988" s="1771"/>
      <c r="M988" s="1771"/>
      <c r="N988" s="1771"/>
      <c r="O988" s="1771"/>
      <c r="P988" s="1771"/>
      <c r="Q988" s="1771"/>
      <c r="R988" s="1771"/>
      <c r="S988" s="1771"/>
      <c r="T988" s="1771"/>
      <c r="U988" s="1771"/>
      <c r="V988" s="1771"/>
      <c r="W988" s="1771"/>
      <c r="X988" s="1771"/>
      <c r="Y988" s="1771"/>
      <c r="Z988" s="1771"/>
      <c r="AA988" s="1771"/>
      <c r="AB988" s="1771"/>
      <c r="AC988" s="1771"/>
      <c r="AD988" s="1771"/>
      <c r="AE988" s="1772"/>
      <c r="AF988" s="1855"/>
      <c r="AG988" s="1855"/>
      <c r="AH988" s="1855"/>
      <c r="AI988" s="1855"/>
      <c r="AJ988" s="1789"/>
      <c r="AK988" s="1790"/>
      <c r="AL988" s="1790"/>
      <c r="AM988" s="1790"/>
      <c r="AN988" s="1790"/>
      <c r="AO988" s="1790"/>
      <c r="AP988" s="1790"/>
      <c r="AQ988" s="17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60" t="s">
        <v>601</v>
      </c>
      <c r="K989" s="1861"/>
      <c r="L989" s="1861"/>
      <c r="M989" s="1861"/>
      <c r="N989" s="1861"/>
      <c r="O989" s="1861"/>
      <c r="P989" s="1861"/>
      <c r="Q989" s="1861"/>
      <c r="R989" s="1861"/>
      <c r="S989" s="1861"/>
      <c r="T989" s="1861"/>
      <c r="U989" s="1861"/>
      <c r="V989" s="1861"/>
      <c r="W989" s="1861"/>
      <c r="X989" s="1861"/>
      <c r="Y989" s="1861"/>
      <c r="Z989" s="1861"/>
      <c r="AA989" s="1861"/>
      <c r="AB989" s="1861"/>
      <c r="AC989" s="1861"/>
      <c r="AD989" s="1861"/>
      <c r="AE989" s="1862"/>
      <c r="AF989" s="1855"/>
      <c r="AG989" s="1855"/>
      <c r="AH989" s="1855"/>
      <c r="AI989" s="1855"/>
      <c r="AJ989" s="1792"/>
      <c r="AK989" s="1793"/>
      <c r="AL989" s="1793"/>
      <c r="AM989" s="1793"/>
      <c r="AN989" s="1793"/>
      <c r="AO989" s="1793"/>
      <c r="AP989" s="1793"/>
      <c r="AQ989" s="1794"/>
      <c r="AR989" s="68"/>
      <c r="AS989" s="68"/>
      <c r="AT989" s="68"/>
      <c r="AU989" s="68"/>
      <c r="AV989" s="68"/>
      <c r="AW989" s="68"/>
      <c r="AX989" s="68"/>
      <c r="AY989" s="68"/>
      <c r="BA989" s="213">
        <f>IF(A1060="Yes",0.01,0)</f>
        <v>0</v>
      </c>
    </row>
    <row r="990" spans="1:58" ht="12.95" customHeight="1">
      <c r="A990" s="14"/>
      <c r="B990" s="79"/>
      <c r="C990" s="80" t="s">
        <v>231</v>
      </c>
      <c r="D990" s="1767" t="s">
        <v>1460</v>
      </c>
      <c r="E990" s="1768"/>
      <c r="F990" s="1768"/>
      <c r="G990" s="1768"/>
      <c r="H990" s="1768"/>
      <c r="I990" s="1768"/>
      <c r="J990" s="1768"/>
      <c r="K990" s="1768"/>
      <c r="L990" s="1768"/>
      <c r="M990" s="1768"/>
      <c r="N990" s="1768"/>
      <c r="O990" s="1768"/>
      <c r="P990" s="1768"/>
      <c r="Q990" s="1768"/>
      <c r="R990" s="1768"/>
      <c r="S990" s="1768"/>
      <c r="T990" s="1768"/>
      <c r="U990" s="1768"/>
      <c r="V990" s="1768"/>
      <c r="W990" s="1768"/>
      <c r="X990" s="1768"/>
      <c r="Y990" s="1768"/>
      <c r="Z990" s="1768"/>
      <c r="AA990" s="1768"/>
      <c r="AB990" s="1768"/>
      <c r="AC990" s="1768"/>
      <c r="AD990" s="1768"/>
      <c r="AE990" s="1769"/>
      <c r="AF990" s="79"/>
      <c r="AG990" s="1779" t="s">
        <v>555</v>
      </c>
      <c r="AH990" s="1780"/>
      <c r="AI990" s="87"/>
      <c r="AJ990" s="1786">
        <f>ROUND(IF(AG990="Yes",AF992,0),0)</f>
        <v>1474224</v>
      </c>
      <c r="AK990" s="1787"/>
      <c r="AL990" s="1787"/>
      <c r="AM990" s="1787"/>
      <c r="AN990" s="1787"/>
      <c r="AO990" s="1787"/>
      <c r="AP990" s="1787"/>
      <c r="AQ990" s="1788"/>
      <c r="AR990" s="68"/>
      <c r="AS990" s="68"/>
      <c r="AT990" s="68"/>
      <c r="AU990" s="68"/>
      <c r="AV990" s="68"/>
      <c r="AW990" s="68"/>
      <c r="AX990" s="68"/>
      <c r="AY990" s="68"/>
      <c r="BA990" s="213">
        <f>IF(A1064="Yes",0.02,0)</f>
        <v>0</v>
      </c>
    </row>
    <row r="991" spans="1:58" ht="12.95" customHeight="1">
      <c r="A991" s="14"/>
      <c r="B991" s="73"/>
      <c r="C991" s="74"/>
      <c r="D991" s="1770" t="s">
        <v>1951</v>
      </c>
      <c r="E991" s="1771"/>
      <c r="F991" s="1771"/>
      <c r="G991" s="1771"/>
      <c r="H991" s="1771"/>
      <c r="I991" s="1771"/>
      <c r="J991" s="1771"/>
      <c r="K991" s="1771"/>
      <c r="L991" s="1771"/>
      <c r="M991" s="1771"/>
      <c r="N991" s="1771"/>
      <c r="O991" s="1771"/>
      <c r="P991" s="1771"/>
      <c r="Q991" s="1771"/>
      <c r="R991" s="1771"/>
      <c r="S991" s="1771"/>
      <c r="T991" s="1771"/>
      <c r="U991" s="1771"/>
      <c r="V991" s="1771"/>
      <c r="W991" s="1771"/>
      <c r="X991" s="1771"/>
      <c r="Y991" s="1771"/>
      <c r="Z991" s="1771"/>
      <c r="AA991" s="1771"/>
      <c r="AB991" s="1771"/>
      <c r="AC991" s="1771"/>
      <c r="AD991" s="1771"/>
      <c r="AE991" s="1772"/>
      <c r="AF991" s="1856" t="str">
        <f>IF(AG990="yes","Enter Amount:","")</f>
        <v>Enter Amount:</v>
      </c>
      <c r="AG991" s="1857"/>
      <c r="AH991" s="1857"/>
      <c r="AI991" s="1858"/>
      <c r="AJ991" s="1789"/>
      <c r="AK991" s="1790"/>
      <c r="AL991" s="1790"/>
      <c r="AM991" s="1790"/>
      <c r="AN991" s="1790"/>
      <c r="AO991" s="1790"/>
      <c r="AP991" s="1790"/>
      <c r="AQ991" s="1791"/>
      <c r="AR991" s="68"/>
      <c r="AS991" s="68"/>
      <c r="AT991" s="68"/>
      <c r="AU991" s="68"/>
      <c r="AV991" s="68"/>
      <c r="AW991" s="68"/>
      <c r="AX991" s="68"/>
      <c r="AY991" s="68"/>
      <c r="BA991" s="214">
        <f>IF(A1068="Yes",0.02,0)</f>
        <v>0</v>
      </c>
    </row>
    <row r="992" spans="1:58" ht="12.95" customHeight="1">
      <c r="A992" s="14"/>
      <c r="B992" s="73"/>
      <c r="C992" s="74"/>
      <c r="D992" s="1770"/>
      <c r="E992" s="1771"/>
      <c r="F992" s="1771"/>
      <c r="G992" s="1771"/>
      <c r="H992" s="1771"/>
      <c r="I992" s="1771"/>
      <c r="J992" s="1771"/>
      <c r="K992" s="1771"/>
      <c r="L992" s="1771"/>
      <c r="M992" s="1771"/>
      <c r="N992" s="1771"/>
      <c r="O992" s="1771"/>
      <c r="P992" s="1771"/>
      <c r="Q992" s="1771"/>
      <c r="R992" s="1771"/>
      <c r="S992" s="1771"/>
      <c r="T992" s="1771"/>
      <c r="U992" s="1771"/>
      <c r="V992" s="1771"/>
      <c r="W992" s="1771"/>
      <c r="X992" s="1771"/>
      <c r="Y992" s="1771"/>
      <c r="Z992" s="1771"/>
      <c r="AA992" s="1771"/>
      <c r="AB992" s="1771"/>
      <c r="AC992" s="1771"/>
      <c r="AD992" s="1771"/>
      <c r="AE992" s="1772"/>
      <c r="AF992" s="1855">
        <v>1474224</v>
      </c>
      <c r="AG992" s="1855"/>
      <c r="AH992" s="1855"/>
      <c r="AI992" s="1855"/>
      <c r="AJ992" s="1789"/>
      <c r="AK992" s="1790"/>
      <c r="AL992" s="1790"/>
      <c r="AM992" s="1790"/>
      <c r="AN992" s="1790"/>
      <c r="AO992" s="1790"/>
      <c r="AP992" s="1790"/>
      <c r="AQ992" s="1791"/>
      <c r="AR992" s="68"/>
      <c r="AS992" s="68"/>
      <c r="AT992" s="68"/>
      <c r="AU992" s="68"/>
      <c r="AV992" s="68"/>
      <c r="AW992" s="68"/>
      <c r="AX992" s="68"/>
      <c r="AY992" s="68"/>
    </row>
    <row r="993" spans="1:51" ht="12.95" customHeight="1">
      <c r="A993" s="14"/>
      <c r="B993" s="85"/>
      <c r="C993" s="84"/>
      <c r="D993" s="1783"/>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1855"/>
      <c r="AG993" s="1855"/>
      <c r="AH993" s="1855"/>
      <c r="AI993" s="1855"/>
      <c r="AJ993" s="1792"/>
      <c r="AK993" s="1793"/>
      <c r="AL993" s="1793"/>
      <c r="AM993" s="1793"/>
      <c r="AN993" s="1793"/>
      <c r="AO993" s="1793"/>
      <c r="AP993" s="1793"/>
      <c r="AQ993" s="1794"/>
      <c r="AR993" s="68"/>
      <c r="AS993" s="68"/>
      <c r="AT993" s="68"/>
      <c r="AU993" s="68"/>
      <c r="AV993" s="68"/>
      <c r="AW993" s="68"/>
      <c r="AX993" s="68"/>
      <c r="AY993" s="68"/>
    </row>
    <row r="994" spans="1:51" ht="12.95" customHeight="1">
      <c r="A994" s="14"/>
      <c r="B994" s="79"/>
      <c r="C994" s="80" t="s">
        <v>236</v>
      </c>
      <c r="D994" s="1806" t="s">
        <v>1461</v>
      </c>
      <c r="E994" s="1807"/>
      <c r="F994" s="1807"/>
      <c r="G994" s="1807"/>
      <c r="H994" s="1807"/>
      <c r="I994" s="1807"/>
      <c r="J994" s="1807"/>
      <c r="K994" s="1807"/>
      <c r="L994" s="1807"/>
      <c r="M994" s="1807"/>
      <c r="N994" s="1807"/>
      <c r="O994" s="1807"/>
      <c r="P994" s="1807"/>
      <c r="Q994" s="1807"/>
      <c r="R994" s="1807"/>
      <c r="S994" s="1807"/>
      <c r="T994" s="1807"/>
      <c r="U994" s="1807"/>
      <c r="V994" s="1807"/>
      <c r="W994" s="1807"/>
      <c r="X994" s="1807"/>
      <c r="Y994" s="1807"/>
      <c r="Z994" s="1807"/>
      <c r="AA994" s="1807"/>
      <c r="AB994" s="1807"/>
      <c r="AC994" s="1807"/>
      <c r="AD994" s="1807"/>
      <c r="AE994" s="1808"/>
      <c r="AF994" s="79"/>
      <c r="AG994" s="1779" t="s">
        <v>679</v>
      </c>
      <c r="AH994" s="1780"/>
      <c r="AI994" s="87"/>
      <c r="AJ994" s="1786">
        <f>ROUND(IF(AG994="yes",(AJ961*0.1),0),0)</f>
        <v>0</v>
      </c>
      <c r="AK994" s="1787"/>
      <c r="AL994" s="1787"/>
      <c r="AM994" s="1787"/>
      <c r="AN994" s="1787"/>
      <c r="AO994" s="1787"/>
      <c r="AP994" s="1787"/>
      <c r="AQ994" s="1788"/>
      <c r="AR994" s="68"/>
      <c r="AS994" s="68"/>
      <c r="AT994" s="68"/>
      <c r="AU994" s="68"/>
      <c r="AV994" s="68"/>
      <c r="AW994" s="68"/>
      <c r="AX994" s="68"/>
      <c r="AY994" s="68"/>
    </row>
    <row r="995" spans="1:51" ht="12.95" customHeight="1">
      <c r="A995" s="14"/>
      <c r="B995" s="73"/>
      <c r="C995" s="74"/>
      <c r="D995" s="1770" t="s">
        <v>1462</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89"/>
      <c r="AK995" s="1790"/>
      <c r="AL995" s="1790"/>
      <c r="AM995" s="1790"/>
      <c r="AN995" s="1790"/>
      <c r="AO995" s="1790"/>
      <c r="AP995" s="1790"/>
      <c r="AQ995" s="1791"/>
      <c r="AR995" s="68"/>
      <c r="AS995" s="68"/>
      <c r="AT995" s="68"/>
      <c r="AU995" s="68"/>
      <c r="AV995" s="68"/>
      <c r="AW995" s="68"/>
      <c r="AX995" s="68"/>
      <c r="AY995" s="68"/>
    </row>
    <row r="996" spans="1:51" ht="12.95" customHeight="1">
      <c r="A996" s="14"/>
      <c r="B996" s="77"/>
      <c r="C996" s="74"/>
      <c r="D996" s="1783"/>
      <c r="E996" s="1784"/>
      <c r="F996" s="1784"/>
      <c r="G996" s="1784"/>
      <c r="H996" s="1784"/>
      <c r="I996" s="1784"/>
      <c r="J996" s="1784"/>
      <c r="K996" s="1784"/>
      <c r="L996" s="1784"/>
      <c r="M996" s="1784"/>
      <c r="N996" s="1784"/>
      <c r="O996" s="1784"/>
      <c r="P996" s="1784"/>
      <c r="Q996" s="1784"/>
      <c r="R996" s="1784"/>
      <c r="S996" s="1784"/>
      <c r="T996" s="1784"/>
      <c r="U996" s="1784"/>
      <c r="V996" s="1784"/>
      <c r="W996" s="1784"/>
      <c r="X996" s="1784"/>
      <c r="Y996" s="1784"/>
      <c r="Z996" s="1784"/>
      <c r="AA996" s="1784"/>
      <c r="AB996" s="1784"/>
      <c r="AC996" s="1784"/>
      <c r="AD996" s="1784"/>
      <c r="AE996" s="1785"/>
      <c r="AF996" s="73"/>
      <c r="AG996" s="14"/>
      <c r="AH996" s="14"/>
      <c r="AI996" s="83"/>
      <c r="AJ996" s="1792"/>
      <c r="AK996" s="1793"/>
      <c r="AL996" s="1793"/>
      <c r="AM996" s="1793"/>
      <c r="AN996" s="1793"/>
      <c r="AO996" s="1793"/>
      <c r="AP996" s="1793"/>
      <c r="AQ996" s="1794"/>
      <c r="AR996" s="68"/>
      <c r="AS996" s="68"/>
      <c r="AT996" s="68"/>
      <c r="AU996" s="68"/>
      <c r="AV996" s="68"/>
      <c r="AW996" s="68"/>
      <c r="AX996" s="68"/>
      <c r="AY996" s="68"/>
    </row>
    <row r="997" spans="1:51" ht="12.95" customHeight="1">
      <c r="A997" s="14"/>
      <c r="B997" s="73"/>
      <c r="C997" s="368" t="s">
        <v>698</v>
      </c>
      <c r="D997" s="1767" t="s">
        <v>1947</v>
      </c>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9"/>
      <c r="AG997" s="1779" t="s">
        <v>679</v>
      </c>
      <c r="AH997" s="1780"/>
      <c r="AI997" s="87"/>
      <c r="AJ997" s="1786">
        <f>ROUND(IF(AG997="yes",(AJ961*0.15),0),0)</f>
        <v>0</v>
      </c>
      <c r="AK997" s="1787"/>
      <c r="AL997" s="1787"/>
      <c r="AM997" s="1787"/>
      <c r="AN997" s="1787"/>
      <c r="AO997" s="1787"/>
      <c r="AP997" s="1787"/>
      <c r="AQ997" s="1788"/>
      <c r="AR997" s="68"/>
      <c r="AS997" s="68"/>
      <c r="AT997" s="68"/>
      <c r="AU997" s="68"/>
      <c r="AV997" s="68"/>
      <c r="AW997" s="68"/>
      <c r="AX997" s="68"/>
      <c r="AY997" s="68"/>
    </row>
    <row r="998" spans="1:51" ht="12.95" customHeight="1">
      <c r="A998" s="14"/>
      <c r="B998" s="73"/>
      <c r="C998" s="74"/>
      <c r="D998" s="1798"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9"/>
      <c r="AF998" s="952"/>
      <c r="AG998" s="953"/>
      <c r="AH998" s="953"/>
      <c r="AI998" s="954"/>
      <c r="AJ998" s="1789"/>
      <c r="AK998" s="1790"/>
      <c r="AL998" s="1790"/>
      <c r="AM998" s="1790"/>
      <c r="AN998" s="1790"/>
      <c r="AO998" s="1790"/>
      <c r="AP998" s="1790"/>
      <c r="AQ998" s="1791"/>
      <c r="AR998" s="68"/>
      <c r="AS998" s="68"/>
      <c r="AT998" s="68"/>
      <c r="AU998" s="68"/>
      <c r="AV998" s="68"/>
      <c r="AW998" s="68"/>
      <c r="AX998" s="68"/>
      <c r="AY998" s="68"/>
    </row>
    <row r="999" spans="1:51" ht="12.95" customHeight="1">
      <c r="A999" s="14"/>
      <c r="B999" s="73"/>
      <c r="C999" s="74"/>
      <c r="D999" s="179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9"/>
      <c r="AF999" s="952"/>
      <c r="AG999" s="953"/>
      <c r="AH999" s="953"/>
      <c r="AI999" s="954"/>
      <c r="AJ999" s="1789"/>
      <c r="AK999" s="1790"/>
      <c r="AL999" s="1790"/>
      <c r="AM999" s="1790"/>
      <c r="AN999" s="1790"/>
      <c r="AO999" s="1790"/>
      <c r="AP999" s="1790"/>
      <c r="AQ999" s="1791"/>
      <c r="AR999" s="68"/>
      <c r="AS999" s="68"/>
      <c r="AT999" s="68"/>
      <c r="AU999" s="68"/>
      <c r="AV999" s="68"/>
      <c r="AW999" s="68"/>
      <c r="AX999" s="68"/>
      <c r="AY999" s="68"/>
    </row>
    <row r="1000" spans="1:51" ht="12.95" customHeight="1">
      <c r="A1000" s="14"/>
      <c r="B1000" s="73"/>
      <c r="C1000" s="74"/>
      <c r="D1000" s="1800"/>
      <c r="E1000" s="1801"/>
      <c r="F1000" s="1801"/>
      <c r="G1000" s="1801"/>
      <c r="H1000" s="1801"/>
      <c r="I1000" s="1801"/>
      <c r="J1000" s="1801"/>
      <c r="K1000" s="1801"/>
      <c r="L1000" s="1801"/>
      <c r="M1000" s="1801"/>
      <c r="N1000" s="1801"/>
      <c r="O1000" s="1801"/>
      <c r="P1000" s="1801"/>
      <c r="Q1000" s="1801"/>
      <c r="R1000" s="1801"/>
      <c r="S1000" s="1801"/>
      <c r="T1000" s="1801"/>
      <c r="U1000" s="1801"/>
      <c r="V1000" s="1801"/>
      <c r="W1000" s="1801"/>
      <c r="X1000" s="1801"/>
      <c r="Y1000" s="1801"/>
      <c r="Z1000" s="1801"/>
      <c r="AA1000" s="1801"/>
      <c r="AB1000" s="1801"/>
      <c r="AC1000" s="1801"/>
      <c r="AD1000" s="1801"/>
      <c r="AE1000" s="1802"/>
      <c r="AF1000" s="955"/>
      <c r="AG1000" s="956"/>
      <c r="AH1000" s="956"/>
      <c r="AI1000" s="957"/>
      <c r="AJ1000" s="1792"/>
      <c r="AK1000" s="1793"/>
      <c r="AL1000" s="1793"/>
      <c r="AM1000" s="1793"/>
      <c r="AN1000" s="1793"/>
      <c r="AO1000" s="1793"/>
      <c r="AP1000" s="1793"/>
      <c r="AQ1000" s="1794"/>
      <c r="AR1000" s="68"/>
      <c r="AS1000" s="68"/>
      <c r="AT1000" s="68"/>
      <c r="AU1000" s="68"/>
      <c r="AV1000" s="68"/>
      <c r="AW1000" s="68"/>
      <c r="AX1000" s="68"/>
      <c r="AY1000" s="68"/>
    </row>
    <row r="1001" spans="1:51" ht="12.95" customHeight="1">
      <c r="A1001" s="14"/>
      <c r="B1001" s="73"/>
      <c r="C1001" s="368" t="s">
        <v>698</v>
      </c>
      <c r="D1001" s="1806" t="s">
        <v>1949</v>
      </c>
      <c r="E1001" s="1807"/>
      <c r="F1001" s="1807"/>
      <c r="G1001" s="1807"/>
      <c r="H1001" s="1807"/>
      <c r="I1001" s="1807"/>
      <c r="J1001" s="1807"/>
      <c r="K1001" s="1807"/>
      <c r="L1001" s="1807"/>
      <c r="M1001" s="1807"/>
      <c r="N1001" s="1807"/>
      <c r="O1001" s="1807"/>
      <c r="P1001" s="1807"/>
      <c r="Q1001" s="1807"/>
      <c r="R1001" s="1807"/>
      <c r="S1001" s="1807"/>
      <c r="T1001" s="1807"/>
      <c r="U1001" s="1807"/>
      <c r="V1001" s="1807"/>
      <c r="W1001" s="1807"/>
      <c r="X1001" s="1807"/>
      <c r="Y1001" s="1807"/>
      <c r="Z1001" s="1807"/>
      <c r="AA1001" s="1807"/>
      <c r="AB1001" s="1807"/>
      <c r="AC1001" s="1807"/>
      <c r="AD1001" s="1807"/>
      <c r="AE1001" s="1808"/>
      <c r="AF1001" s="73"/>
      <c r="AG1001" s="1781" t="s">
        <v>679</v>
      </c>
      <c r="AH1001" s="1782"/>
      <c r="AI1001" s="83"/>
      <c r="AJ1001" s="1786">
        <f>ROUND(IF(AND(AG1001="yes",AJ997=0),(AJ961*0.1),0),0)</f>
        <v>0</v>
      </c>
      <c r="AK1001" s="1787"/>
      <c r="AL1001" s="1787"/>
      <c r="AM1001" s="1787"/>
      <c r="AN1001" s="1787"/>
      <c r="AO1001" s="1787"/>
      <c r="AP1001" s="1787"/>
      <c r="AQ1001" s="1788"/>
      <c r="AR1001" s="68"/>
      <c r="AS1001" s="68"/>
      <c r="AT1001" s="68"/>
      <c r="AU1001" s="68"/>
      <c r="AV1001" s="68"/>
      <c r="AW1001" s="68"/>
      <c r="AX1001" s="68"/>
      <c r="AY1001" s="68"/>
    </row>
    <row r="1002" spans="1:51" ht="12.95" customHeight="1">
      <c r="A1002" s="14"/>
      <c r="B1002" s="73"/>
      <c r="C1002" s="74"/>
      <c r="D1002" s="1798"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9"/>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68"/>
    </row>
    <row r="1003" spans="1:51" ht="12.95" customHeight="1">
      <c r="A1003" s="14"/>
      <c r="B1003" s="73"/>
      <c r="C1003" s="74"/>
      <c r="D1003" s="179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9"/>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68"/>
    </row>
    <row r="1004" spans="1:51" ht="12.95" customHeight="1">
      <c r="A1004" s="14"/>
      <c r="B1004" s="73"/>
      <c r="C1004" s="74"/>
      <c r="D1004" s="179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9"/>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68"/>
    </row>
    <row r="1005" spans="1:51" ht="12.95" customHeight="1">
      <c r="A1005" s="14"/>
      <c r="B1005" s="73"/>
      <c r="C1005" s="74"/>
      <c r="D1005" s="1800"/>
      <c r="E1005" s="1801"/>
      <c r="F1005" s="1801"/>
      <c r="G1005" s="1801"/>
      <c r="H1005" s="1801"/>
      <c r="I1005" s="1801"/>
      <c r="J1005" s="1801"/>
      <c r="K1005" s="1801"/>
      <c r="L1005" s="1801"/>
      <c r="M1005" s="1801"/>
      <c r="N1005" s="1801"/>
      <c r="O1005" s="1801"/>
      <c r="P1005" s="1801"/>
      <c r="Q1005" s="1801"/>
      <c r="R1005" s="1801"/>
      <c r="S1005" s="1801"/>
      <c r="T1005" s="1801"/>
      <c r="U1005" s="1801"/>
      <c r="V1005" s="1801"/>
      <c r="W1005" s="1801"/>
      <c r="X1005" s="1801"/>
      <c r="Y1005" s="1801"/>
      <c r="Z1005" s="1801"/>
      <c r="AA1005" s="1801"/>
      <c r="AB1005" s="1801"/>
      <c r="AC1005" s="1801"/>
      <c r="AD1005" s="1801"/>
      <c r="AE1005" s="1802"/>
      <c r="AF1005" s="73"/>
      <c r="AG1005" s="14"/>
      <c r="AH1005" s="14"/>
      <c r="AI1005" s="83"/>
      <c r="AJ1005" s="1789"/>
      <c r="AK1005" s="1790"/>
      <c r="AL1005" s="1790"/>
      <c r="AM1005" s="1790"/>
      <c r="AN1005" s="1790"/>
      <c r="AO1005" s="1790"/>
      <c r="AP1005" s="1790"/>
      <c r="AQ1005" s="1791"/>
      <c r="AR1005" s="68"/>
      <c r="AS1005" s="68"/>
      <c r="AT1005" s="68"/>
      <c r="AU1005" s="68"/>
      <c r="AV1005" s="68"/>
      <c r="AW1005" s="68"/>
      <c r="AX1005" s="68"/>
      <c r="AY1005" s="68"/>
    </row>
    <row r="1006" spans="1:51" ht="12.95" customHeight="1">
      <c r="A1006" s="14"/>
      <c r="B1006" s="79"/>
      <c r="C1006" s="131" t="s">
        <v>1067</v>
      </c>
      <c r="D1006" s="1767" t="s">
        <v>1463</v>
      </c>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9"/>
      <c r="AG1006" s="1779" t="s">
        <v>555</v>
      </c>
      <c r="AH1006" s="1780"/>
      <c r="AI1006" s="87"/>
      <c r="AJ1006" s="1786">
        <f>ROUND(IF(AG1006="yes",(AJ961*0.1),0),0)</f>
        <v>3195113</v>
      </c>
      <c r="AK1006" s="1787"/>
      <c r="AL1006" s="1787"/>
      <c r="AM1006" s="1787"/>
      <c r="AN1006" s="1787"/>
      <c r="AO1006" s="1787"/>
      <c r="AP1006" s="1787"/>
      <c r="AQ1006" s="1788"/>
      <c r="AR1006" s="68"/>
      <c r="AS1006" s="68"/>
      <c r="AT1006" s="68"/>
      <c r="AU1006" s="68"/>
      <c r="AV1006" s="68"/>
      <c r="AW1006" s="68"/>
      <c r="AX1006" s="68"/>
      <c r="AY1006" s="68"/>
    </row>
    <row r="1007" spans="1:51" ht="12.95" customHeight="1">
      <c r="A1007" s="14"/>
      <c r="B1007" s="73"/>
      <c r="C1007" s="74"/>
      <c r="D1007" s="1770" t="s">
        <v>2620</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73"/>
      <c r="AG1007" s="14"/>
      <c r="AH1007" s="14"/>
      <c r="AI1007" s="83"/>
      <c r="AJ1007" s="1789"/>
      <c r="AK1007" s="1790"/>
      <c r="AL1007" s="1790"/>
      <c r="AM1007" s="1790"/>
      <c r="AN1007" s="1790"/>
      <c r="AO1007" s="1790"/>
      <c r="AP1007" s="1790"/>
      <c r="AQ1007" s="1791"/>
      <c r="AR1007" s="68"/>
      <c r="AS1007" s="68"/>
      <c r="AT1007" s="68"/>
      <c r="AU1007" s="68"/>
      <c r="AV1007" s="68"/>
      <c r="AW1007" s="68"/>
      <c r="AX1007" s="68"/>
      <c r="AY1007" s="68"/>
    </row>
    <row r="1008" spans="1:51" ht="12.95" customHeight="1">
      <c r="A1008" s="14"/>
      <c r="B1008" s="73"/>
      <c r="C1008" s="74"/>
      <c r="D1008" s="1770"/>
      <c r="E1008" s="1771"/>
      <c r="F1008" s="1771"/>
      <c r="G1008" s="1771"/>
      <c r="H1008" s="1771"/>
      <c r="I1008" s="1771"/>
      <c r="J1008" s="1771"/>
      <c r="K1008" s="1771"/>
      <c r="L1008" s="1771"/>
      <c r="M1008" s="1771"/>
      <c r="N1008" s="1771"/>
      <c r="O1008" s="1771"/>
      <c r="P1008" s="1771"/>
      <c r="Q1008" s="1771"/>
      <c r="R1008" s="1771"/>
      <c r="S1008" s="1771"/>
      <c r="T1008" s="1771"/>
      <c r="U1008" s="1771"/>
      <c r="V1008" s="1771"/>
      <c r="W1008" s="1771"/>
      <c r="X1008" s="1771"/>
      <c r="Y1008" s="1771"/>
      <c r="Z1008" s="1771"/>
      <c r="AA1008" s="1771"/>
      <c r="AB1008" s="1771"/>
      <c r="AC1008" s="1771"/>
      <c r="AD1008" s="1771"/>
      <c r="AE1008" s="1772"/>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c r="AY1008" s="68"/>
    </row>
    <row r="1009" spans="1:51" ht="12.95" customHeight="1">
      <c r="A1009" s="14"/>
      <c r="B1009" s="73"/>
      <c r="C1009" s="74"/>
      <c r="D1009" s="1783"/>
      <c r="E1009" s="1784"/>
      <c r="F1009" s="1784"/>
      <c r="G1009" s="1784"/>
      <c r="H1009" s="1784"/>
      <c r="I1009" s="1784"/>
      <c r="J1009" s="1784"/>
      <c r="K1009" s="1784"/>
      <c r="L1009" s="1784"/>
      <c r="M1009" s="1784"/>
      <c r="N1009" s="1784"/>
      <c r="O1009" s="1784"/>
      <c r="P1009" s="1784"/>
      <c r="Q1009" s="1784"/>
      <c r="R1009" s="1784"/>
      <c r="S1009" s="1784"/>
      <c r="T1009" s="1784"/>
      <c r="U1009" s="1784"/>
      <c r="V1009" s="1784"/>
      <c r="W1009" s="1784"/>
      <c r="X1009" s="1784"/>
      <c r="Y1009" s="1784"/>
      <c r="Z1009" s="1784"/>
      <c r="AA1009" s="1784"/>
      <c r="AB1009" s="1784"/>
      <c r="AC1009" s="1784"/>
      <c r="AD1009" s="1784"/>
      <c r="AE1009" s="1785"/>
      <c r="AF1009" s="73"/>
      <c r="AG1009" s="14"/>
      <c r="AH1009" s="14"/>
      <c r="AI1009" s="83"/>
      <c r="AJ1009" s="1792"/>
      <c r="AK1009" s="1793"/>
      <c r="AL1009" s="1793"/>
      <c r="AM1009" s="1793"/>
      <c r="AN1009" s="1793"/>
      <c r="AO1009" s="1793"/>
      <c r="AP1009" s="1793"/>
      <c r="AQ1009" s="1794"/>
      <c r="AR1009" s="68"/>
      <c r="AS1009" s="68"/>
      <c r="AT1009" s="68"/>
      <c r="AU1009" s="68"/>
      <c r="AV1009" s="68"/>
      <c r="AW1009" s="68"/>
      <c r="AX1009" s="68"/>
      <c r="AY1009" s="68"/>
    </row>
    <row r="1010" spans="1:51" ht="12.95" customHeight="1">
      <c r="A1010" s="14"/>
      <c r="B1010" s="79"/>
      <c r="C1010" s="131" t="s">
        <v>1945</v>
      </c>
      <c r="D1010" s="1806" t="s">
        <v>2129</v>
      </c>
      <c r="E1010" s="1807"/>
      <c r="F1010" s="1807"/>
      <c r="G1010" s="1807"/>
      <c r="H1010" s="1807"/>
      <c r="I1010" s="1807"/>
      <c r="J1010" s="1807"/>
      <c r="K1010" s="1807"/>
      <c r="L1010" s="1807"/>
      <c r="M1010" s="1807"/>
      <c r="N1010" s="1807"/>
      <c r="O1010" s="1807"/>
      <c r="P1010" s="1807"/>
      <c r="Q1010" s="1807"/>
      <c r="R1010" s="1807"/>
      <c r="S1010" s="1807"/>
      <c r="T1010" s="1807"/>
      <c r="U1010" s="1807"/>
      <c r="V1010" s="1807"/>
      <c r="W1010" s="1807"/>
      <c r="X1010" s="1807"/>
      <c r="Y1010" s="1807"/>
      <c r="Z1010" s="1807"/>
      <c r="AA1010" s="1807"/>
      <c r="AB1010" s="1807"/>
      <c r="AC1010" s="1807"/>
      <c r="AD1010" s="1807"/>
      <c r="AE1010" s="1808"/>
      <c r="AF1010" s="79"/>
      <c r="AG1010" s="1777" t="str">
        <f>IF(X1013&gt;0,"Yes","No")</f>
        <v>Yes</v>
      </c>
      <c r="AH1010" s="1778"/>
      <c r="AI1010" s="87"/>
      <c r="AJ1010" s="1786">
        <f>IF((X1013=0),0,BA975*AJ961)</f>
        <v>14058496.32</v>
      </c>
      <c r="AK1010" s="1787"/>
      <c r="AL1010" s="1787"/>
      <c r="AM1010" s="1787"/>
      <c r="AN1010" s="1787"/>
      <c r="AO1010" s="1787"/>
      <c r="AP1010" s="1787"/>
      <c r="AQ1010" s="1788"/>
      <c r="AR1010" s="68"/>
      <c r="AS1010" s="68"/>
      <c r="AT1010" s="68"/>
      <c r="AU1010" s="68"/>
      <c r="AV1010" s="68"/>
      <c r="AW1010" s="68"/>
      <c r="AX1010" s="68"/>
      <c r="AY1010" s="68"/>
    </row>
    <row r="1011" spans="1:51" ht="12.95" customHeight="1">
      <c r="A1011" s="14"/>
      <c r="B1011" s="73"/>
      <c r="C1011" s="477"/>
      <c r="D1011" s="1770" t="s">
        <v>1465</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3"/>
      <c r="AG1011" s="478"/>
      <c r="AH1011" s="478"/>
      <c r="AI1011" s="83"/>
      <c r="AJ1011" s="1789"/>
      <c r="AK1011" s="1790"/>
      <c r="AL1011" s="1790"/>
      <c r="AM1011" s="1790"/>
      <c r="AN1011" s="1790"/>
      <c r="AO1011" s="1790"/>
      <c r="AP1011" s="1790"/>
      <c r="AQ1011" s="1791"/>
      <c r="AR1011" s="68"/>
      <c r="AS1011" s="68"/>
      <c r="AT1011" s="68"/>
      <c r="AU1011" s="68"/>
      <c r="AV1011" s="68"/>
      <c r="AW1011" s="68"/>
      <c r="AX1011" s="68"/>
      <c r="AY1011" s="68"/>
    </row>
    <row r="1012" spans="1:51" ht="12.95" customHeight="1">
      <c r="A1012" s="14"/>
      <c r="B1012" s="73"/>
      <c r="C1012" s="477"/>
      <c r="D1012" s="1770"/>
      <c r="E1012" s="1771"/>
      <c r="F1012" s="1771"/>
      <c r="G1012" s="1771"/>
      <c r="H1012" s="1771"/>
      <c r="I1012" s="1771"/>
      <c r="J1012" s="1771"/>
      <c r="K1012" s="1771"/>
      <c r="L1012" s="1771"/>
      <c r="M1012" s="1771"/>
      <c r="N1012" s="1771"/>
      <c r="O1012" s="1771"/>
      <c r="P1012" s="1771"/>
      <c r="Q1012" s="1771"/>
      <c r="R1012" s="1771"/>
      <c r="S1012" s="1771"/>
      <c r="T1012" s="1771"/>
      <c r="U1012" s="1771"/>
      <c r="V1012" s="1771"/>
      <c r="W1012" s="1771"/>
      <c r="X1012" s="1771"/>
      <c r="Y1012" s="1771"/>
      <c r="Z1012" s="1771"/>
      <c r="AA1012" s="1771"/>
      <c r="AB1012" s="1771"/>
      <c r="AC1012" s="1771"/>
      <c r="AD1012" s="1771"/>
      <c r="AE1012" s="1772"/>
      <c r="AF1012" s="73"/>
      <c r="AG1012" s="478"/>
      <c r="AH1012" s="478"/>
      <c r="AI1012" s="83"/>
      <c r="AJ1012" s="1789"/>
      <c r="AK1012" s="1790"/>
      <c r="AL1012" s="1790"/>
      <c r="AM1012" s="1790"/>
      <c r="AN1012" s="1790"/>
      <c r="AO1012" s="1790"/>
      <c r="AP1012" s="1790"/>
      <c r="AQ1012" s="1791"/>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75">
        <f>BA973</f>
        <v>69</v>
      </c>
      <c r="J1013" s="1776"/>
      <c r="K1013" s="7"/>
      <c r="L1013" s="133"/>
      <c r="M1013" s="133"/>
      <c r="N1013" s="133"/>
      <c r="O1013" s="133"/>
      <c r="P1013" s="133"/>
      <c r="Q1013" s="133"/>
      <c r="R1013" s="133"/>
      <c r="S1013" s="133"/>
      <c r="T1013" s="133"/>
      <c r="U1013" s="133"/>
      <c r="V1013" s="134" t="s">
        <v>1013</v>
      </c>
      <c r="W1013" s="48"/>
      <c r="X1013" s="1773">
        <f>BG621</f>
        <v>31</v>
      </c>
      <c r="Y1013" s="1774"/>
      <c r="Z1013" s="48"/>
      <c r="AA1013" s="48"/>
      <c r="AB1013" s="48"/>
      <c r="AC1013" s="48"/>
      <c r="AD1013" s="48"/>
      <c r="AE1013" s="49"/>
      <c r="AF1013" s="961"/>
      <c r="AG1013" s="962"/>
      <c r="AH1013" s="962"/>
      <c r="AI1013" s="963"/>
      <c r="AJ1013" s="1792"/>
      <c r="AK1013" s="1793"/>
      <c r="AL1013" s="1793"/>
      <c r="AM1013" s="1793"/>
      <c r="AN1013" s="1793"/>
      <c r="AO1013" s="1793"/>
      <c r="AP1013" s="1793"/>
      <c r="AQ1013" s="1794"/>
      <c r="AR1013" s="68"/>
      <c r="AS1013" s="68"/>
      <c r="AT1013" s="68"/>
      <c r="AU1013" s="68"/>
      <c r="AV1013" s="68"/>
      <c r="AW1013" s="68"/>
      <c r="AX1013" s="68"/>
      <c r="AY1013" s="68"/>
    </row>
    <row r="1014" spans="1:51" ht="12.95" customHeight="1">
      <c r="A1014" s="14"/>
      <c r="B1014" s="79"/>
      <c r="C1014" s="131" t="s">
        <v>1946</v>
      </c>
      <c r="D1014" s="1767" t="s">
        <v>2130</v>
      </c>
      <c r="E1014" s="1768"/>
      <c r="F1014" s="1768"/>
      <c r="G1014" s="1768"/>
      <c r="H1014" s="1768"/>
      <c r="I1014" s="1768"/>
      <c r="J1014" s="1768"/>
      <c r="K1014" s="1768"/>
      <c r="L1014" s="1768"/>
      <c r="M1014" s="1768"/>
      <c r="N1014" s="1768"/>
      <c r="O1014" s="1768"/>
      <c r="P1014" s="1768"/>
      <c r="Q1014" s="1768"/>
      <c r="R1014" s="1768"/>
      <c r="S1014" s="1768"/>
      <c r="T1014" s="1768"/>
      <c r="U1014" s="1768"/>
      <c r="V1014" s="1768"/>
      <c r="W1014" s="1768"/>
      <c r="X1014" s="1768"/>
      <c r="Y1014" s="1768"/>
      <c r="Z1014" s="1768"/>
      <c r="AA1014" s="1768"/>
      <c r="AB1014" s="1768"/>
      <c r="AC1014" s="1768"/>
      <c r="AD1014" s="1768"/>
      <c r="AE1014" s="1769"/>
      <c r="AF1014" s="73"/>
      <c r="AG1014" s="1777" t="str">
        <f>IF(X1017&gt;0,"Yes","No")</f>
        <v>Yes</v>
      </c>
      <c r="AH1014" s="1778"/>
      <c r="AI1014" s="83"/>
      <c r="AJ1014" s="1786">
        <f>IF((X1017=0),0,(2*BA976)*AJ961)</f>
        <v>16614586.560000001</v>
      </c>
      <c r="AK1014" s="1787"/>
      <c r="AL1014" s="1787"/>
      <c r="AM1014" s="1787"/>
      <c r="AN1014" s="1787"/>
      <c r="AO1014" s="1787"/>
      <c r="AP1014" s="1787"/>
      <c r="AQ1014" s="1788"/>
      <c r="AR1014" s="68"/>
      <c r="AS1014" s="68"/>
      <c r="AT1014" s="68"/>
      <c r="AU1014" s="68"/>
      <c r="AV1014" s="68"/>
      <c r="AW1014" s="68"/>
      <c r="AX1014" s="68"/>
      <c r="AY1014" s="68"/>
    </row>
    <row r="1015" spans="1:51" ht="12.95" customHeight="1">
      <c r="A1015" s="14"/>
      <c r="B1015" s="73"/>
      <c r="C1015" s="477"/>
      <c r="D1015" s="1770" t="s">
        <v>1464</v>
      </c>
      <c r="E1015" s="1771"/>
      <c r="F1015" s="1771"/>
      <c r="G1015" s="1771"/>
      <c r="H1015" s="1771"/>
      <c r="I1015" s="1771"/>
      <c r="J1015" s="1771"/>
      <c r="K1015" s="1771"/>
      <c r="L1015" s="1771"/>
      <c r="M1015" s="1771"/>
      <c r="N1015" s="1771"/>
      <c r="O1015" s="1771"/>
      <c r="P1015" s="1771"/>
      <c r="Q1015" s="1771"/>
      <c r="R1015" s="1771"/>
      <c r="S1015" s="1771"/>
      <c r="T1015" s="1771"/>
      <c r="U1015" s="1771"/>
      <c r="V1015" s="1771"/>
      <c r="W1015" s="1771"/>
      <c r="X1015" s="1771"/>
      <c r="Y1015" s="1771"/>
      <c r="Z1015" s="1771"/>
      <c r="AA1015" s="1771"/>
      <c r="AB1015" s="1771"/>
      <c r="AC1015" s="1771"/>
      <c r="AD1015" s="1771"/>
      <c r="AE1015" s="1772"/>
      <c r="AF1015" s="73"/>
      <c r="AG1015" s="478"/>
      <c r="AH1015" s="478"/>
      <c r="AI1015" s="83"/>
      <c r="AJ1015" s="1789"/>
      <c r="AK1015" s="1790"/>
      <c r="AL1015" s="1790"/>
      <c r="AM1015" s="1790"/>
      <c r="AN1015" s="1790"/>
      <c r="AO1015" s="1790"/>
      <c r="AP1015" s="1790"/>
      <c r="AQ1015" s="1791"/>
      <c r="AR1015" s="68"/>
      <c r="AS1015" s="68"/>
      <c r="AT1015" s="68"/>
      <c r="AU1015" s="68"/>
      <c r="AV1015" s="68"/>
      <c r="AW1015" s="68"/>
      <c r="AX1015" s="68"/>
      <c r="AY1015" s="68"/>
    </row>
    <row r="1016" spans="1:51" ht="12.95" customHeight="1">
      <c r="A1016" s="14"/>
      <c r="B1016" s="73"/>
      <c r="C1016" s="83"/>
      <c r="D1016" s="1770"/>
      <c r="E1016" s="1771"/>
      <c r="F1016" s="1771"/>
      <c r="G1016" s="1771"/>
      <c r="H1016" s="1771"/>
      <c r="I1016" s="1771"/>
      <c r="J1016" s="1771"/>
      <c r="K1016" s="1771"/>
      <c r="L1016" s="1771"/>
      <c r="M1016" s="1771"/>
      <c r="N1016" s="1771"/>
      <c r="O1016" s="1771"/>
      <c r="P1016" s="1771"/>
      <c r="Q1016" s="1771"/>
      <c r="R1016" s="1771"/>
      <c r="S1016" s="1771"/>
      <c r="T1016" s="1771"/>
      <c r="U1016" s="1771"/>
      <c r="V1016" s="1771"/>
      <c r="W1016" s="1771"/>
      <c r="X1016" s="1771"/>
      <c r="Y1016" s="1771"/>
      <c r="Z1016" s="1771"/>
      <c r="AA1016" s="1771"/>
      <c r="AB1016" s="1771"/>
      <c r="AC1016" s="1771"/>
      <c r="AD1016" s="1771"/>
      <c r="AE1016" s="1772"/>
      <c r="AF1016" s="958"/>
      <c r="AG1016" s="959"/>
      <c r="AH1016" s="959"/>
      <c r="AI1016" s="960"/>
      <c r="AJ1016" s="1789"/>
      <c r="AK1016" s="1790"/>
      <c r="AL1016" s="1790"/>
      <c r="AM1016" s="1790"/>
      <c r="AN1016" s="1790"/>
      <c r="AO1016" s="1790"/>
      <c r="AP1016" s="1790"/>
      <c r="AQ1016" s="1791"/>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75">
        <f>BA973</f>
        <v>69</v>
      </c>
      <c r="J1017" s="1776"/>
      <c r="K1017" s="14"/>
      <c r="L1017" s="133"/>
      <c r="M1017" s="133"/>
      <c r="N1017" s="133"/>
      <c r="O1017" s="133"/>
      <c r="P1017" s="133"/>
      <c r="Q1017" s="133"/>
      <c r="R1017" s="133"/>
      <c r="S1017" s="133"/>
      <c r="T1017" s="133"/>
      <c r="U1017" s="133"/>
      <c r="V1017" s="134" t="s">
        <v>1014</v>
      </c>
      <c r="X1017" s="1773">
        <f>BK621</f>
        <v>18</v>
      </c>
      <c r="Y1017" s="1774"/>
      <c r="AF1017" s="961"/>
      <c r="AG1017" s="962"/>
      <c r="AH1017" s="962"/>
      <c r="AI1017" s="963"/>
      <c r="AJ1017" s="1792"/>
      <c r="AK1017" s="1793"/>
      <c r="AL1017" s="1793"/>
      <c r="AM1017" s="1793"/>
      <c r="AN1017" s="1793"/>
      <c r="AO1017" s="1793"/>
      <c r="AP1017" s="1793"/>
      <c r="AQ1017" s="1794"/>
      <c r="AR1017" s="68"/>
      <c r="AS1017" s="68"/>
      <c r="AT1017" s="68"/>
      <c r="AU1017" s="68"/>
      <c r="AV1017" s="68"/>
      <c r="AW1017" s="68"/>
      <c r="AX1017" s="68"/>
      <c r="AY1017" s="68"/>
    </row>
    <row r="1018" spans="1:51" ht="12.95" customHeight="1">
      <c r="A1018" s="14"/>
      <c r="B1018" s="102"/>
      <c r="C1018" s="103"/>
      <c r="D1018" s="1765" t="s">
        <v>523</v>
      </c>
      <c r="E1018" s="1765"/>
      <c r="F1018" s="1765"/>
      <c r="G1018" s="1765"/>
      <c r="H1018" s="1765"/>
      <c r="I1018" s="1765"/>
      <c r="J1018" s="1765"/>
      <c r="K1018" s="1765"/>
      <c r="L1018" s="1765"/>
      <c r="M1018" s="1765"/>
      <c r="N1018" s="1765"/>
      <c r="O1018" s="1765"/>
      <c r="P1018" s="1765"/>
      <c r="Q1018" s="1765"/>
      <c r="R1018" s="1765"/>
      <c r="S1018" s="1765"/>
      <c r="T1018" s="1765"/>
      <c r="U1018" s="1765"/>
      <c r="V1018" s="1765"/>
      <c r="W1018" s="1765"/>
      <c r="X1018" s="1765"/>
      <c r="Y1018" s="1765"/>
      <c r="Z1018" s="1765"/>
      <c r="AA1018" s="1765"/>
      <c r="AB1018" s="1765"/>
      <c r="AC1018" s="1765"/>
      <c r="AD1018" s="1765"/>
      <c r="AE1018" s="1765"/>
      <c r="AF1018" s="1765"/>
      <c r="AG1018" s="1765"/>
      <c r="AH1018" s="1765"/>
      <c r="AI1018" s="1766"/>
      <c r="AJ1018" s="1795">
        <f>SUM(AJ961:AQ1017)</f>
        <v>73683773.879999995</v>
      </c>
      <c r="AK1018" s="1796"/>
      <c r="AL1018" s="1796"/>
      <c r="AM1018" s="1796"/>
      <c r="AN1018" s="1796"/>
      <c r="AO1018" s="1796"/>
      <c r="AP1018" s="1796"/>
      <c r="AQ1018" s="179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32">
        <f>IF(ISNA(IF((AJ985&gt;(AJ961*0.15)),"(f) cannot be greater than 15% of unadjusted eligible basis.",0)),"",(IF((AJ985&gt;(AJ961*0.15)),"(f) cannot be greater than 15% of unadjusted eligible basis.",0)))</f>
        <v>0</v>
      </c>
      <c r="C1025" s="1732"/>
      <c r="D1025" s="1732"/>
      <c r="E1025" s="1732"/>
      <c r="F1025" s="1732"/>
      <c r="G1025" s="1732"/>
      <c r="H1025" s="1732"/>
      <c r="I1025" s="1732"/>
      <c r="J1025" s="1732"/>
      <c r="K1025" s="1732"/>
      <c r="L1025" s="1732"/>
      <c r="M1025" s="1732"/>
      <c r="N1025" s="1732"/>
      <c r="O1025" s="1732"/>
      <c r="P1025" s="1732"/>
      <c r="Q1025" s="1732"/>
      <c r="R1025" s="1732"/>
      <c r="S1025" s="1732"/>
      <c r="T1025" s="1732"/>
      <c r="U1025" s="1732"/>
      <c r="V1025" s="1732"/>
      <c r="W1025" s="1732"/>
      <c r="X1025" s="1732"/>
      <c r="Y1025" s="1732"/>
      <c r="Z1025" s="1732"/>
      <c r="AA1025" s="1732"/>
      <c r="AB1025" s="1732"/>
      <c r="AC1025" s="1732"/>
      <c r="AD1025" s="1732"/>
      <c r="AE1025" s="1732"/>
      <c r="AF1025" s="1732"/>
      <c r="AG1025" s="1732"/>
      <c r="AH1025" s="1732"/>
      <c r="AI1025" s="1732"/>
      <c r="AJ1025" s="1732"/>
      <c r="AK1025" s="1732"/>
      <c r="AL1025" s="68"/>
      <c r="AM1025" s="68"/>
      <c r="AN1025" s="68"/>
      <c r="AO1025" s="68"/>
      <c r="AP1025" s="68"/>
      <c r="AQ1025" s="68"/>
      <c r="AR1025" s="68"/>
      <c r="AS1025" s="68"/>
      <c r="AT1025" s="68"/>
      <c r="AU1025" s="68"/>
      <c r="AV1025" s="68"/>
      <c r="AW1025" s="68"/>
      <c r="AX1025" s="68"/>
      <c r="AY1025" s="68"/>
    </row>
    <row r="1026" spans="1:51" ht="12.95" customHeight="1" thickBot="1">
      <c r="A1026" s="1697" t="s">
        <v>819</v>
      </c>
      <c r="B1026" s="1697"/>
      <c r="C1026" s="1697"/>
      <c r="D1026" s="1697"/>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7"/>
      <c r="AF1026" s="1697"/>
      <c r="AG1026" s="1697"/>
      <c r="AH1026" s="1697"/>
      <c r="AI1026" s="1697"/>
      <c r="AJ1026" s="1697"/>
      <c r="AK1026" s="1697"/>
      <c r="AL1026" s="169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2563</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2564</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9" priority="37" stopIfTrue="1" operator="equal">
      <formula>"Please Enter Amount:"</formula>
    </cfRule>
  </conditionalFormatting>
  <conditionalFormatting sqref="AJ1010">
    <cfRule type="cellIs" dxfId="208" priority="40" stopIfTrue="1" operator="equal">
      <formula>"#DIV/0!"</formula>
    </cfRule>
  </conditionalFormatting>
  <conditionalFormatting sqref="AG440:AJ440">
    <cfRule type="expression" dxfId="207" priority="41" stopIfTrue="1">
      <formula>"iserror(d31)"</formula>
    </cfRule>
  </conditionalFormatting>
  <conditionalFormatting sqref="AF998">
    <cfRule type="cellIs" dxfId="206" priority="35" stopIfTrue="1" operator="equal">
      <formula>"Please Enter Amount:"</formula>
    </cfRule>
  </conditionalFormatting>
  <conditionalFormatting sqref="AF991">
    <cfRule type="cellIs" dxfId="205" priority="34" stopIfTrue="1" operator="equal">
      <formula>"Please Enter Amount:"</formula>
    </cfRule>
  </conditionalFormatting>
  <conditionalFormatting sqref="D211:X211">
    <cfRule type="expression" dxfId="204" priority="33">
      <formula>NOT($D$210="Special Needs")</formula>
    </cfRule>
  </conditionalFormatting>
  <conditionalFormatting sqref="Y211:AC211">
    <cfRule type="expression" dxfId="203" priority="32">
      <formula>NOT($D$210="Special Needs")</formula>
    </cfRule>
  </conditionalFormatting>
  <conditionalFormatting sqref="D214:U214">
    <cfRule type="expression" dxfId="202" priority="30">
      <formula>NOT(OR($D$213="Seniors",$D$210="Seniors"))</formula>
    </cfRule>
  </conditionalFormatting>
  <conditionalFormatting sqref="AA214:AO214">
    <cfRule type="expression" dxfId="201" priority="31">
      <formula>NOT(OR($D$213="Seniors",$D$210="Seniors"))</formula>
    </cfRule>
  </conditionalFormatting>
  <conditionalFormatting sqref="D212">
    <cfRule type="expression" dxfId="200" priority="29">
      <formula>AND($Y$211&gt;0,$AB$211&lt;75%)</formula>
    </cfRule>
  </conditionalFormatting>
  <conditionalFormatting sqref="D213:Z213">
    <cfRule type="expression" dxfId="199" priority="28">
      <formula>AND($Y$211&gt;0,$AB$211&lt;75%)</formula>
    </cfRule>
  </conditionalFormatting>
  <conditionalFormatting sqref="D215">
    <cfRule type="expression" dxfId="198" priority="26">
      <formula>NOT($D$210="At-Risk")</formula>
    </cfRule>
  </conditionalFormatting>
  <conditionalFormatting sqref="AB215:AM215">
    <cfRule type="expression" dxfId="197" priority="27">
      <formula>NOT($D$210="At-Risk")</formula>
    </cfRule>
  </conditionalFormatting>
  <conditionalFormatting sqref="L506:AB506">
    <cfRule type="expression" dxfId="196" priority="25">
      <formula>AND(NOT(AC506="N/A"),AH506&lt;&gt;"",OR(L506="(specify here)",L506=""))</formula>
    </cfRule>
  </conditionalFormatting>
  <conditionalFormatting sqref="O518:AA518">
    <cfRule type="expression" dxfId="195" priority="24">
      <formula>AND(OR(AND(NOT(AC518="N/A"),AH518&lt;&gt;""),AND(NOT(AC519="N/A"),AH519&lt;&gt;""),AND(NOT(AC520="N/A"),AH520&lt;&gt;"")),OR(O518="(specify here)",O518=""))</formula>
    </cfRule>
  </conditionalFormatting>
  <conditionalFormatting sqref="O521:AA521">
    <cfRule type="expression" dxfId="194" priority="23">
      <formula>AND(OR(AND(NOT(AC521="N/A"),AH521&lt;&gt;""),AND(NOT(AC522="N/A"),AH522&lt;&gt;""),AND(NOT(AC523="N/A"),AH523&lt;&gt;"")),OR(O521="(specify here)",O521=""))</formula>
    </cfRule>
  </conditionalFormatting>
  <conditionalFormatting sqref="O524:AA524">
    <cfRule type="expression" dxfId="193" priority="22">
      <formula>AND(OR(AND(NOT(AC524="N/A"),AH524&lt;&gt;""),AND(NOT(AC525="N/A"),AH525&lt;&gt;""),AND(NOT(AC526="N/A"),AH526&lt;&gt;"")),OR(O524="(specify here)",O524=""))</formula>
    </cfRule>
  </conditionalFormatting>
  <conditionalFormatting sqref="O527:AA527">
    <cfRule type="expression" dxfId="192" priority="21">
      <formula>AND(OR(AND(NOT(AC527="N/A"),AH527&lt;&gt;""),AND(NOT(AC528="N/A"),AH528&lt;&gt;""),AND(NOT(AC529="N/A"),AH529&lt;&gt;"")),OR(O527="(specify here)",O527=""))</formula>
    </cfRule>
  </conditionalFormatting>
  <conditionalFormatting sqref="O530:AA530">
    <cfRule type="expression" dxfId="191" priority="20">
      <formula>AND(OR(AND(NOT(AC530="N/A"),AH530&lt;&gt;""),AND(NOT(AC531="N/A"),AH531&lt;&gt;""),AND(NOT(AC532="N/A"),AH532&lt;&gt;"")),OR(O530="(specify here)",O530=""))</formula>
    </cfRule>
  </conditionalFormatting>
  <conditionalFormatting sqref="O533:AA533">
    <cfRule type="expression" dxfId="190" priority="19">
      <formula>AND(OR(AND(NOT(AC533="N/A"),AH533&lt;&gt;""),AND(NOT(AC534="N/A"),AH534&lt;&gt;""),AND(NOT(AC535="N/A"),AH535&lt;&gt;"")),OR(O533="(specify here)",O533=""))</formula>
    </cfRule>
  </conditionalFormatting>
  <conditionalFormatting sqref="Q556:AS561 C556:C561 AC624:AS634 Q624:Z634">
    <cfRule type="expression" dxfId="189" priority="18">
      <formula>$AT556="!"</formula>
    </cfRule>
  </conditionalFormatting>
  <conditionalFormatting sqref="C624:C634">
    <cfRule type="expression" dxfId="188" priority="17">
      <formula>$AT624="!"</formula>
    </cfRule>
  </conditionalFormatting>
  <conditionalFormatting sqref="E703:AK703">
    <cfRule type="expression" dxfId="187" priority="16">
      <formula>AND($W$702="Other",OR($E$703="(specify here)",$E$703=""))</formula>
    </cfRule>
  </conditionalFormatting>
  <conditionalFormatting sqref="B740:AH741">
    <cfRule type="expression" dxfId="186" priority="15">
      <formula>NOT($D$210="Special Needs")</formula>
    </cfRule>
  </conditionalFormatting>
  <conditionalFormatting sqref="AG742:AJ742">
    <cfRule type="expression" dxfId="185" priority="13">
      <formula>NOT($D$210="Special Needs")</formula>
    </cfRule>
  </conditionalFormatting>
  <conditionalFormatting sqref="U742">
    <cfRule type="expression" dxfId="184" priority="14">
      <formula>NOT($D$210="Special Needs")</formula>
    </cfRule>
  </conditionalFormatting>
  <conditionalFormatting sqref="P800:Y800">
    <cfRule type="expression" dxfId="183" priority="12">
      <formula>AND(Z800&lt;&gt;"",OR(P800="(specify here)",P800=""))</formula>
    </cfRule>
  </conditionalFormatting>
  <conditionalFormatting sqref="F815:L815">
    <cfRule type="expression" dxfId="182" priority="11">
      <formula>AND(OR(M815&lt;&gt;"",$Q$795&lt;&gt;"",$U$795&lt;&gt;"",$Y$795&lt;&gt;"",$AC$795&lt;&gt;"",$AG$795&lt;&gt;"",SUM($M$815:$AJ$815)&gt;0),OR(F815="(specify here)",F815=""))</formula>
    </cfRule>
  </conditionalFormatting>
  <conditionalFormatting sqref="M830:V830">
    <cfRule type="expression" dxfId="181" priority="10">
      <formula>AND(W830&lt;&gt;"",OR(M830="(specify here)",M830=""))</formula>
    </cfRule>
  </conditionalFormatting>
  <conditionalFormatting sqref="M845:V845">
    <cfRule type="expression" dxfId="180" priority="9">
      <formula>AND(W845&lt;&gt;"",OR(M845="(specify here)",M845=""))</formula>
    </cfRule>
  </conditionalFormatting>
  <conditionalFormatting sqref="M855:V855">
    <cfRule type="expression" dxfId="179" priority="8">
      <formula>AND(W855&lt;&gt;"",OR(M855="(specify here)",M855=""))</formula>
    </cfRule>
  </conditionalFormatting>
  <conditionalFormatting sqref="M858:V862">
    <cfRule type="expression" dxfId="178" priority="7">
      <formula>AND(W858&lt;&gt;"",OR(M858="(specify here)",M858=""))</formula>
    </cfRule>
  </conditionalFormatting>
  <conditionalFormatting sqref="C877:AB877">
    <cfRule type="expression" dxfId="177" priority="5">
      <formula>AND(AC877&lt;&gt;"",OR(C877="Other (Specify):",C877=""))</formula>
    </cfRule>
  </conditionalFormatting>
  <conditionalFormatting sqref="C878:AB878">
    <cfRule type="expression" dxfId="176" priority="3">
      <formula>AND(AC878&lt;&gt;"",OR(C878="Other (Specify):",C878=""))</formula>
    </cfRule>
  </conditionalFormatting>
  <conditionalFormatting sqref="W944:AG944">
    <cfRule type="expression" dxfId="175" priority="2">
      <formula>AND($AA$923&lt;&gt;"",OR($W$922="",$W$922="(specify here)"))</formula>
    </cfRule>
  </conditionalFormatting>
  <conditionalFormatting sqref="Q551:AS555 C551:C555">
    <cfRule type="expression" dxfId="174" priority="1">
      <formula>$AT551="!"</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AE550:AH561 AC623:AE634 Q550:V561"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499:AF506 AC512:AF540"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623:P634 M550:P561" xr:uid="{F87116AC-A1B8-4398-BDC8-FEBBA6D1FE2D}">
      <formula1>ListofSources</formula1>
    </dataValidation>
    <dataValidation type="decimal" operator="greaterThanOrEqual" allowBlank="1" showInputMessage="1" showErrorMessage="1" sqref="AI550:AS561 W623:Y634 AF623:AS634 W550:Y561"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4AE908A9-C085-4BAF-9CC6-E14912EB36D7}"/>
    <hyperlink ref="M236" r:id="rId6" xr:uid="{7531A3CD-AC8A-4B0E-A29A-F11FAAF6A528}"/>
    <hyperlink ref="M247" r:id="rId7" xr:uid="{64478C9A-0CC5-4AC1-B673-2FCE019E16E6}"/>
    <hyperlink ref="M255" r:id="rId8" xr:uid="{68A085F3-7BC2-4AB5-956E-638881D0F8D1}"/>
    <hyperlink ref="L278" r:id="rId9" xr:uid="{CE95DE9A-FEBC-41FB-A96C-55C7248BEC01}"/>
    <hyperlink ref="AA308" r:id="rId10" xr:uid="{50DFB5A4-B965-402D-B3C1-FB0C93FE8211}"/>
    <hyperlink ref="H308" r:id="rId11" xr:uid="{154D7CD0-72B3-499E-9356-7F95C3F6BADC}"/>
    <hyperlink ref="H292" r:id="rId12" xr:uid="{B9A71BC1-53B4-4125-A2DD-D1765651C546}"/>
    <hyperlink ref="AA292" r:id="rId13" xr:uid="{773595B0-DAF4-4EA8-B6C0-9C04816B1062}"/>
    <hyperlink ref="AA300" r:id="rId14" xr:uid="{A3D6C861-C25F-4614-B200-37B3E7445ED6}"/>
    <hyperlink ref="H316" r:id="rId15" xr:uid="{03F8EB58-D2CC-4BF2-9A68-112B3A8E975B}"/>
    <hyperlink ref="AA324" r:id="rId16" xr:uid="{4D903633-DC88-4A97-9493-967B429CC4F3}"/>
    <hyperlink ref="H340" r:id="rId17" xr:uid="{E1075EE1-DD57-48A1-A8E9-9E21F2F187E9}"/>
    <hyperlink ref="AA340" r:id="rId18" xr:uid="{590A4496-8E89-4DAC-A79B-9453B1847B7F}"/>
  </hyperlinks>
  <printOptions horizontalCentered="1"/>
  <pageMargins left="0.5" right="0.5" top="1" bottom="1" header="0.5" footer="0.5"/>
  <pageSetup scale="83" fitToHeight="25" orientation="portrait" useFirstPageNumber="1" r:id="rId19"/>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20"/>
  <legacyDrawing r:id="rId2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0" zoomScaleNormal="100" zoomScaleSheetLayoutView="90" workbookViewId="0">
      <selection activeCell="C30" sqref="C3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75" t="s">
        <v>631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376</v>
      </c>
      <c r="D2" s="138" t="s">
        <v>375</v>
      </c>
      <c r="E2" s="138" t="s">
        <v>24</v>
      </c>
      <c r="F2" s="139" t="str">
        <f>Application!B623&amp;Application!C623</f>
        <v>1)Permanent Loan</v>
      </c>
      <c r="G2" s="139" t="str">
        <f>Application!B624&amp;Application!C624</f>
        <v>2)City of Chico CDBG-DR</v>
      </c>
      <c r="H2" s="139" t="str">
        <f>Application!B625&amp;Application!C625</f>
        <v>3)Solar Tax Credits</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1400000</v>
      </c>
      <c r="C4" s="147">
        <v>1400000</v>
      </c>
      <c r="D4" s="147"/>
      <c r="E4" s="147">
        <f>C4</f>
        <v>1400000</v>
      </c>
      <c r="F4" s="147"/>
      <c r="G4" s="147"/>
      <c r="H4" s="147"/>
      <c r="I4" s="147"/>
      <c r="J4" s="147"/>
      <c r="K4" s="147"/>
      <c r="L4" s="147"/>
      <c r="M4" s="147"/>
      <c r="N4" s="147"/>
      <c r="O4" s="147"/>
      <c r="P4" s="147"/>
      <c r="Q4" s="147"/>
      <c r="R4" s="551">
        <f>SUM(E4:Q4)</f>
        <v>1400000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1400000</v>
      </c>
      <c r="C8" s="146">
        <f t="shared" ref="C8:Q8" si="0">SUM(C4:C7)</f>
        <v>1400000</v>
      </c>
      <c r="D8" s="146">
        <f t="shared" si="0"/>
        <v>0</v>
      </c>
      <c r="E8" s="146">
        <f t="shared" si="0"/>
        <v>1400000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1400000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250000</v>
      </c>
      <c r="C10" s="147">
        <v>250000</v>
      </c>
      <c r="D10" s="147"/>
      <c r="E10" s="147">
        <f>C10</f>
        <v>250000</v>
      </c>
      <c r="F10" s="147"/>
      <c r="G10" s="147"/>
      <c r="H10" s="147"/>
      <c r="I10" s="147"/>
      <c r="J10" s="147"/>
      <c r="K10" s="147"/>
      <c r="L10" s="147"/>
      <c r="M10" s="147"/>
      <c r="N10" s="147"/>
      <c r="O10" s="147"/>
      <c r="P10" s="147"/>
      <c r="Q10" s="147"/>
      <c r="R10" s="551">
        <f>SUM(E10:Q10)</f>
        <v>250000</v>
      </c>
      <c r="S10" s="147">
        <f>R10</f>
        <v>250000</v>
      </c>
      <c r="T10" s="147"/>
      <c r="U10" s="143"/>
    </row>
    <row r="11" spans="1:21" s="144" customFormat="1">
      <c r="A11" s="149" t="s">
        <v>606</v>
      </c>
      <c r="B11" s="146">
        <f>SUM(C11:D11)</f>
        <v>250000</v>
      </c>
      <c r="C11" s="146">
        <f t="shared" ref="C11:Q11" si="1">SUM(C9:C10)</f>
        <v>250000</v>
      </c>
      <c r="D11" s="146">
        <f t="shared" si="1"/>
        <v>0</v>
      </c>
      <c r="E11" s="146">
        <f t="shared" si="1"/>
        <v>250000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250000</v>
      </c>
      <c r="S11" s="148"/>
      <c r="T11" s="150">
        <f>SUM(T9:T10)</f>
        <v>0</v>
      </c>
      <c r="U11" s="143"/>
    </row>
    <row r="12" spans="1:21" s="144" customFormat="1">
      <c r="A12" s="149" t="s">
        <v>85</v>
      </c>
      <c r="B12" s="146">
        <f t="shared" ref="B12:Q12" si="2">SUM(B8+B11)</f>
        <v>1650000</v>
      </c>
      <c r="C12" s="146">
        <f t="shared" si="2"/>
        <v>1650000</v>
      </c>
      <c r="D12" s="146">
        <f t="shared" si="2"/>
        <v>0</v>
      </c>
      <c r="E12" s="146">
        <f t="shared" si="2"/>
        <v>1650000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1650000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3789930</v>
      </c>
      <c r="C29" s="147">
        <v>3789930</v>
      </c>
      <c r="D29" s="147"/>
      <c r="E29" s="147">
        <f>C29-F29</f>
        <v>3755929</v>
      </c>
      <c r="F29" s="147">
        <f>4233000-F30</f>
        <v>34001</v>
      </c>
      <c r="G29" s="147"/>
      <c r="H29" s="147"/>
      <c r="I29" s="147"/>
      <c r="J29" s="147"/>
      <c r="K29" s="147"/>
      <c r="L29" s="147"/>
      <c r="M29" s="147"/>
      <c r="N29" s="147"/>
      <c r="O29" s="147"/>
      <c r="P29" s="147"/>
      <c r="Q29" s="147"/>
      <c r="R29" s="551">
        <f t="shared" ref="R29:R37" si="7">SUM(E29:Q29)</f>
        <v>3789930</v>
      </c>
      <c r="S29" s="147">
        <f>R29</f>
        <v>3789930</v>
      </c>
      <c r="T29" s="147"/>
      <c r="U29" s="143"/>
    </row>
    <row r="30" spans="1:21" s="144" customFormat="1">
      <c r="A30" s="145" t="s">
        <v>609</v>
      </c>
      <c r="B30" s="146">
        <f t="shared" si="6"/>
        <v>18641685</v>
      </c>
      <c r="C30" s="147">
        <f>18391685+250000</f>
        <v>18641685</v>
      </c>
      <c r="D30" s="147"/>
      <c r="E30" s="147"/>
      <c r="F30" s="147">
        <f>C30-G30</f>
        <v>4198999</v>
      </c>
      <c r="G30" s="147">
        <v>14442686</v>
      </c>
      <c r="H30" s="147"/>
      <c r="I30" s="147"/>
      <c r="J30" s="147"/>
      <c r="K30" s="147"/>
      <c r="L30" s="147"/>
      <c r="M30" s="147"/>
      <c r="N30" s="147"/>
      <c r="O30" s="147"/>
      <c r="P30" s="147"/>
      <c r="Q30" s="147"/>
      <c r="R30" s="551">
        <f t="shared" si="7"/>
        <v>18641685</v>
      </c>
      <c r="S30" s="147">
        <f>R30</f>
        <v>18641685</v>
      </c>
      <c r="T30" s="147"/>
      <c r="U30" s="143"/>
    </row>
    <row r="31" spans="1:21" s="144" customFormat="1">
      <c r="A31" s="145" t="s">
        <v>610</v>
      </c>
      <c r="B31" s="146">
        <f t="shared" si="6"/>
        <v>1300000</v>
      </c>
      <c r="C31" s="147">
        <v>1300000</v>
      </c>
      <c r="D31" s="147"/>
      <c r="E31" s="147">
        <f>C31</f>
        <v>1300000</v>
      </c>
      <c r="F31" s="147"/>
      <c r="G31" s="147"/>
      <c r="H31" s="147"/>
      <c r="I31" s="147"/>
      <c r="J31" s="147"/>
      <c r="K31" s="147"/>
      <c r="L31" s="147"/>
      <c r="M31" s="147"/>
      <c r="N31" s="147"/>
      <c r="O31" s="147"/>
      <c r="P31" s="147"/>
      <c r="Q31" s="147"/>
      <c r="R31" s="551">
        <f t="shared" si="7"/>
        <v>1300000</v>
      </c>
      <c r="S31" s="147">
        <f>R31</f>
        <v>1300000</v>
      </c>
      <c r="T31" s="147"/>
      <c r="U31" s="143"/>
    </row>
    <row r="32" spans="1:21" s="144" customFormat="1">
      <c r="A32" s="145" t="s">
        <v>138</v>
      </c>
      <c r="B32" s="146">
        <f t="shared" si="6"/>
        <v>1200000</v>
      </c>
      <c r="C32" s="147">
        <v>1200000</v>
      </c>
      <c r="D32" s="147"/>
      <c r="E32" s="147">
        <f>C32</f>
        <v>1200000</v>
      </c>
      <c r="F32" s="147"/>
      <c r="G32" s="147"/>
      <c r="H32" s="147"/>
      <c r="I32" s="147"/>
      <c r="J32" s="147"/>
      <c r="K32" s="147"/>
      <c r="L32" s="147"/>
      <c r="M32" s="147"/>
      <c r="N32" s="147"/>
      <c r="O32" s="147"/>
      <c r="P32" s="147"/>
      <c r="Q32" s="147"/>
      <c r="R32" s="551">
        <f t="shared" si="7"/>
        <v>1200000</v>
      </c>
      <c r="S32" s="147">
        <f>R32</f>
        <v>1200000</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592339</v>
      </c>
      <c r="C35" s="147">
        <v>592339</v>
      </c>
      <c r="D35" s="147"/>
      <c r="E35" s="147">
        <f>C35</f>
        <v>592339</v>
      </c>
      <c r="F35" s="147"/>
      <c r="G35" s="147"/>
      <c r="H35" s="147"/>
      <c r="I35" s="147"/>
      <c r="J35" s="147"/>
      <c r="K35" s="147"/>
      <c r="L35" s="147"/>
      <c r="M35" s="147"/>
      <c r="N35" s="147"/>
      <c r="O35" s="147"/>
      <c r="P35" s="147"/>
      <c r="Q35" s="147"/>
      <c r="R35" s="551">
        <f t="shared" si="7"/>
        <v>592339</v>
      </c>
      <c r="S35" s="147">
        <f>R35</f>
        <v>592339</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2728</v>
      </c>
      <c r="B37" s="146">
        <f t="shared" si="6"/>
        <v>1500000</v>
      </c>
      <c r="C37" s="147">
        <v>1500000</v>
      </c>
      <c r="D37" s="147"/>
      <c r="E37" s="147">
        <f>C37-H37</f>
        <v>1070000</v>
      </c>
      <c r="F37" s="147"/>
      <c r="G37" s="147"/>
      <c r="H37" s="147">
        <v>430000</v>
      </c>
      <c r="I37" s="147"/>
      <c r="J37" s="147"/>
      <c r="K37" s="147"/>
      <c r="L37" s="147"/>
      <c r="M37" s="147"/>
      <c r="N37" s="147"/>
      <c r="O37" s="147"/>
      <c r="P37" s="147"/>
      <c r="Q37" s="147"/>
      <c r="R37" s="551">
        <f t="shared" si="7"/>
        <v>1500000</v>
      </c>
      <c r="S37" s="147">
        <f>R37</f>
        <v>1500000</v>
      </c>
      <c r="T37" s="147"/>
      <c r="U37" s="143"/>
    </row>
    <row r="38" spans="1:21" s="144" customFormat="1">
      <c r="A38" s="149" t="s">
        <v>144</v>
      </c>
      <c r="B38" s="146">
        <f t="shared" si="6"/>
        <v>27023954</v>
      </c>
      <c r="C38" s="146">
        <f>SUM(C29:C37)</f>
        <v>27023954</v>
      </c>
      <c r="D38" s="146">
        <f t="shared" ref="D38:Q38" si="8">SUM(D29:D37)</f>
        <v>0</v>
      </c>
      <c r="E38" s="146">
        <f t="shared" si="8"/>
        <v>7918268</v>
      </c>
      <c r="F38" s="146">
        <f t="shared" si="8"/>
        <v>4233000</v>
      </c>
      <c r="G38" s="146">
        <f t="shared" si="8"/>
        <v>14442686</v>
      </c>
      <c r="H38" s="146">
        <f t="shared" si="8"/>
        <v>430000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27023954</v>
      </c>
      <c r="S38" s="150">
        <f>SUM(S29:S37)</f>
        <v>27023954</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795659</v>
      </c>
      <c r="C40" s="147">
        <v>795659</v>
      </c>
      <c r="D40" s="147"/>
      <c r="E40" s="147">
        <f>C40</f>
        <v>795659</v>
      </c>
      <c r="F40" s="147"/>
      <c r="G40" s="147"/>
      <c r="H40" s="147"/>
      <c r="I40" s="147"/>
      <c r="J40" s="147"/>
      <c r="K40" s="147"/>
      <c r="L40" s="147"/>
      <c r="M40" s="147"/>
      <c r="N40" s="147"/>
      <c r="O40" s="147"/>
      <c r="P40" s="147"/>
      <c r="Q40" s="147"/>
      <c r="R40" s="551">
        <f>SUM(E40:Q40)</f>
        <v>795659</v>
      </c>
      <c r="S40" s="147">
        <f>R40</f>
        <v>795659</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795659</v>
      </c>
      <c r="C42" s="146">
        <f>SUM(C39:C41)</f>
        <v>795659</v>
      </c>
      <c r="D42" s="146">
        <f>SUM(D39:D41)</f>
        <v>0</v>
      </c>
      <c r="E42" s="146">
        <f t="shared" ref="E42:T42" si="9">SUM(E40:E41)</f>
        <v>795659</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795659</v>
      </c>
      <c r="S42" s="150">
        <f t="shared" si="9"/>
        <v>795659</v>
      </c>
      <c r="T42" s="150">
        <f t="shared" si="9"/>
        <v>0</v>
      </c>
      <c r="U42" s="143"/>
    </row>
    <row r="43" spans="1:21" s="144" customFormat="1">
      <c r="A43" s="149" t="s">
        <v>149</v>
      </c>
      <c r="B43" s="146">
        <f>SUM(C43:D43)</f>
        <v>145000</v>
      </c>
      <c r="C43" s="147">
        <v>145000</v>
      </c>
      <c r="D43" s="147"/>
      <c r="E43" s="147">
        <f>C43</f>
        <v>145000</v>
      </c>
      <c r="F43" s="147"/>
      <c r="G43" s="147"/>
      <c r="H43" s="147"/>
      <c r="I43" s="147"/>
      <c r="J43" s="147"/>
      <c r="K43" s="147"/>
      <c r="L43" s="147"/>
      <c r="M43" s="147"/>
      <c r="N43" s="147"/>
      <c r="O43" s="147"/>
      <c r="P43" s="147"/>
      <c r="Q43" s="147"/>
      <c r="R43" s="551">
        <f>SUM(E43:Q43)</f>
        <v>145000</v>
      </c>
      <c r="S43" s="147">
        <f>R43</f>
        <v>145000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4700000</v>
      </c>
      <c r="C45" s="147">
        <v>4700000</v>
      </c>
      <c r="D45" s="147"/>
      <c r="E45" s="147">
        <f>C45</f>
        <v>4700000</v>
      </c>
      <c r="F45" s="147"/>
      <c r="G45" s="147"/>
      <c r="H45" s="147"/>
      <c r="I45" s="147"/>
      <c r="J45" s="147"/>
      <c r="K45" s="147"/>
      <c r="L45" s="147"/>
      <c r="M45" s="147"/>
      <c r="N45" s="147"/>
      <c r="O45" s="147"/>
      <c r="P45" s="147"/>
      <c r="Q45" s="147"/>
      <c r="R45" s="551">
        <f t="shared" ref="R45:R53" si="11">SUM(E45:Q45)</f>
        <v>4700000</v>
      </c>
      <c r="S45" s="147">
        <v>1800000</v>
      </c>
      <c r="T45" s="147"/>
      <c r="U45" s="143"/>
    </row>
    <row r="46" spans="1:21" s="144" customFormat="1">
      <c r="A46" s="145" t="s">
        <v>152</v>
      </c>
      <c r="B46" s="146">
        <f t="shared" si="10"/>
        <v>387000</v>
      </c>
      <c r="C46" s="147">
        <v>387000</v>
      </c>
      <c r="D46" s="147"/>
      <c r="E46" s="147">
        <f>C46</f>
        <v>387000</v>
      </c>
      <c r="F46" s="147"/>
      <c r="G46" s="147"/>
      <c r="H46" s="147"/>
      <c r="I46" s="147"/>
      <c r="J46" s="147"/>
      <c r="K46" s="147"/>
      <c r="L46" s="147"/>
      <c r="M46" s="147"/>
      <c r="N46" s="147"/>
      <c r="O46" s="147"/>
      <c r="P46" s="147"/>
      <c r="Q46" s="147"/>
      <c r="R46" s="551">
        <f t="shared" si="11"/>
        <v>387000</v>
      </c>
      <c r="S46" s="147">
        <v>193500</v>
      </c>
      <c r="T46" s="147"/>
      <c r="U46" s="143"/>
    </row>
    <row r="47" spans="1:21" s="144" customFormat="1">
      <c r="A47" s="198" t="s">
        <v>153</v>
      </c>
      <c r="B47" s="146">
        <f t="shared" si="10"/>
        <v>88892</v>
      </c>
      <c r="C47" s="147">
        <f>88893-1</f>
        <v>88892</v>
      </c>
      <c r="D47" s="147"/>
      <c r="E47" s="1016">
        <f>C47</f>
        <v>88892</v>
      </c>
      <c r="F47" s="147"/>
      <c r="G47" s="147"/>
      <c r="H47" s="147"/>
      <c r="I47" s="147"/>
      <c r="J47" s="147"/>
      <c r="K47" s="147"/>
      <c r="L47" s="147"/>
      <c r="M47" s="147"/>
      <c r="N47" s="147"/>
      <c r="O47" s="147"/>
      <c r="P47" s="147"/>
      <c r="Q47" s="147"/>
      <c r="R47" s="551">
        <f t="shared" si="11"/>
        <v>88892</v>
      </c>
      <c r="S47" s="147"/>
      <c r="T47" s="147"/>
      <c r="U47" s="143"/>
    </row>
    <row r="48" spans="1:21" s="144" customFormat="1">
      <c r="A48" s="145" t="s">
        <v>154</v>
      </c>
      <c r="B48" s="146">
        <f t="shared" si="10"/>
        <v>166250</v>
      </c>
      <c r="C48" s="147">
        <v>166250</v>
      </c>
      <c r="D48" s="147"/>
      <c r="E48" s="147">
        <f>C48</f>
        <v>166250</v>
      </c>
      <c r="F48" s="147"/>
      <c r="G48" s="147"/>
      <c r="H48" s="147"/>
      <c r="I48" s="147"/>
      <c r="J48" s="147"/>
      <c r="K48" s="147"/>
      <c r="L48" s="147"/>
      <c r="M48" s="147"/>
      <c r="N48" s="147"/>
      <c r="O48" s="147"/>
      <c r="P48" s="147"/>
      <c r="Q48" s="147"/>
      <c r="R48" s="551">
        <f t="shared" si="11"/>
        <v>166250</v>
      </c>
      <c r="S48" s="147">
        <v>83125</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150000</v>
      </c>
      <c r="C50" s="147">
        <v>150000</v>
      </c>
      <c r="D50" s="147"/>
      <c r="E50" s="147">
        <f>C50</f>
        <v>150000</v>
      </c>
      <c r="F50" s="147"/>
      <c r="G50" s="147"/>
      <c r="H50" s="147"/>
      <c r="I50" s="147"/>
      <c r="J50" s="147"/>
      <c r="K50" s="147"/>
      <c r="L50" s="147"/>
      <c r="M50" s="147"/>
      <c r="N50" s="147"/>
      <c r="O50" s="147"/>
      <c r="P50" s="147"/>
      <c r="Q50" s="147"/>
      <c r="R50" s="551">
        <f t="shared" si="11"/>
        <v>150000</v>
      </c>
      <c r="S50" s="147"/>
      <c r="T50" s="147"/>
      <c r="U50" s="143"/>
    </row>
    <row r="51" spans="1:21" s="144" customFormat="1">
      <c r="A51" s="304" t="s">
        <v>155</v>
      </c>
      <c r="B51" s="146">
        <f t="shared" si="10"/>
        <v>5000</v>
      </c>
      <c r="C51" s="147">
        <v>5000</v>
      </c>
      <c r="D51" s="147"/>
      <c r="E51" s="147">
        <f>C51</f>
        <v>5000</v>
      </c>
      <c r="F51" s="147"/>
      <c r="G51" s="147"/>
      <c r="H51" s="147"/>
      <c r="I51" s="147"/>
      <c r="J51" s="147"/>
      <c r="K51" s="147"/>
      <c r="L51" s="147"/>
      <c r="M51" s="147"/>
      <c r="N51" s="147"/>
      <c r="O51" s="147"/>
      <c r="P51" s="147"/>
      <c r="Q51" s="147"/>
      <c r="R51" s="551">
        <f t="shared" si="11"/>
        <v>5000</v>
      </c>
      <c r="S51" s="147">
        <v>5000</v>
      </c>
      <c r="T51" s="147"/>
      <c r="U51" s="143"/>
    </row>
    <row r="52" spans="1:21" s="144" customFormat="1">
      <c r="A52" s="145" t="s">
        <v>156</v>
      </c>
      <c r="B52" s="146">
        <f t="shared" si="10"/>
        <v>525000</v>
      </c>
      <c r="C52" s="147">
        <v>525000</v>
      </c>
      <c r="D52" s="147"/>
      <c r="E52" s="147">
        <f>C52</f>
        <v>525000</v>
      </c>
      <c r="F52" s="147"/>
      <c r="G52" s="147"/>
      <c r="H52" s="147"/>
      <c r="I52" s="147"/>
      <c r="J52" s="147"/>
      <c r="K52" s="147"/>
      <c r="L52" s="147"/>
      <c r="M52" s="147"/>
      <c r="N52" s="147"/>
      <c r="O52" s="147"/>
      <c r="P52" s="147"/>
      <c r="Q52" s="147"/>
      <c r="R52" s="551">
        <f t="shared" si="11"/>
        <v>525000</v>
      </c>
      <c r="S52" s="147">
        <v>350000</v>
      </c>
      <c r="T52" s="147"/>
      <c r="U52" s="143"/>
    </row>
    <row r="53" spans="1:21" s="144" customFormat="1">
      <c r="A53" s="1202" t="s">
        <v>2729</v>
      </c>
      <c r="B53" s="146">
        <f t="shared" si="10"/>
        <v>300000</v>
      </c>
      <c r="C53" s="147">
        <v>300000</v>
      </c>
      <c r="D53" s="147"/>
      <c r="E53" s="147">
        <f>C53</f>
        <v>300000</v>
      </c>
      <c r="F53" s="147"/>
      <c r="G53" s="147"/>
      <c r="H53" s="147"/>
      <c r="I53" s="147"/>
      <c r="J53" s="147"/>
      <c r="K53" s="147"/>
      <c r="L53" s="147"/>
      <c r="M53" s="147"/>
      <c r="N53" s="147"/>
      <c r="O53" s="147"/>
      <c r="P53" s="147"/>
      <c r="Q53" s="147"/>
      <c r="R53" s="551">
        <f t="shared" si="11"/>
        <v>300000</v>
      </c>
      <c r="S53" s="147">
        <v>300000</v>
      </c>
      <c r="T53" s="147"/>
      <c r="U53" s="143"/>
    </row>
    <row r="54" spans="1:21" s="153" customFormat="1">
      <c r="A54" s="149" t="s">
        <v>158</v>
      </c>
      <c r="B54" s="150">
        <f>SUM(C54:D54)</f>
        <v>6322142</v>
      </c>
      <c r="C54" s="150">
        <f t="shared" ref="C54:T54" si="12">SUM(C45:C53)</f>
        <v>6322142</v>
      </c>
      <c r="D54" s="150">
        <f t="shared" si="12"/>
        <v>0</v>
      </c>
      <c r="E54" s="150">
        <f t="shared" si="12"/>
        <v>6322142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6322142</v>
      </c>
      <c r="S54" s="150">
        <f t="shared" si="12"/>
        <v>2731625</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50000</v>
      </c>
      <c r="C56" s="147">
        <v>50000</v>
      </c>
      <c r="D56" s="147"/>
      <c r="E56" s="147">
        <f>C56</f>
        <v>50000</v>
      </c>
      <c r="F56" s="147"/>
      <c r="G56" s="147"/>
      <c r="H56" s="147"/>
      <c r="I56" s="147"/>
      <c r="J56" s="147"/>
      <c r="K56" s="147"/>
      <c r="L56" s="147"/>
      <c r="M56" s="147"/>
      <c r="N56" s="147"/>
      <c r="O56" s="147"/>
      <c r="P56" s="147"/>
      <c r="Q56" s="147"/>
      <c r="R56" s="551">
        <f t="shared" ref="R56:R61" si="14">SUM(E56:Q56)</f>
        <v>50000</v>
      </c>
      <c r="S56" s="148"/>
      <c r="T56" s="148"/>
      <c r="U56" s="143"/>
    </row>
    <row r="57" spans="1:21" s="204" customFormat="1">
      <c r="A57" s="198" t="s">
        <v>153</v>
      </c>
      <c r="B57" s="205">
        <f t="shared" si="13"/>
        <v>125000</v>
      </c>
      <c r="C57" s="202">
        <v>125000</v>
      </c>
      <c r="D57" s="202"/>
      <c r="E57" s="202">
        <f>C57</f>
        <v>125000</v>
      </c>
      <c r="F57" s="202"/>
      <c r="G57" s="202"/>
      <c r="H57" s="202"/>
      <c r="I57" s="202"/>
      <c r="J57" s="202"/>
      <c r="K57" s="202"/>
      <c r="L57" s="202"/>
      <c r="M57" s="202"/>
      <c r="N57" s="202"/>
      <c r="O57" s="202"/>
      <c r="P57" s="202"/>
      <c r="Q57" s="202"/>
      <c r="R57" s="551">
        <f t="shared" si="14"/>
        <v>125000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303</v>
      </c>
      <c r="B62" s="146">
        <f>SUM(C62:D62)</f>
        <v>175000</v>
      </c>
      <c r="C62" s="146">
        <f t="shared" ref="C62:R62" si="15">SUM(C56:C61)</f>
        <v>175000</v>
      </c>
      <c r="D62" s="146">
        <f t="shared" si="15"/>
        <v>0</v>
      </c>
      <c r="E62" s="146">
        <f t="shared" si="15"/>
        <v>175000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175000</v>
      </c>
      <c r="S62" s="148"/>
      <c r="T62" s="148"/>
      <c r="U62" s="143"/>
    </row>
    <row r="63" spans="1:21" s="144" customFormat="1">
      <c r="A63" s="154" t="s">
        <v>304</v>
      </c>
      <c r="B63" s="146">
        <f t="shared" ref="B63:R63" si="16">SUM(B8+B11+B13+B14+B15+B26+B27+B38+B42+B43+B54+B62)</f>
        <v>36111755</v>
      </c>
      <c r="C63" s="146">
        <f t="shared" si="16"/>
        <v>36111755</v>
      </c>
      <c r="D63" s="146">
        <f t="shared" si="16"/>
        <v>0</v>
      </c>
      <c r="E63" s="146">
        <f t="shared" si="16"/>
        <v>17006069</v>
      </c>
      <c r="F63" s="146">
        <f t="shared" si="16"/>
        <v>4233000</v>
      </c>
      <c r="G63" s="146">
        <f t="shared" si="16"/>
        <v>14442686</v>
      </c>
      <c r="H63" s="146">
        <f t="shared" si="16"/>
        <v>430000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36111755</v>
      </c>
      <c r="S63" s="146">
        <f>SUM(S10+S13+S14+S15+S26+S27+S38+S42+S43+S54)</f>
        <v>30946238</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125000</v>
      </c>
      <c r="C65" s="147">
        <v>125000</v>
      </c>
      <c r="D65" s="147"/>
      <c r="E65" s="147">
        <f>C65</f>
        <v>125000</v>
      </c>
      <c r="F65" s="147"/>
      <c r="G65" s="147"/>
      <c r="H65" s="147"/>
      <c r="I65" s="147"/>
      <c r="J65" s="147"/>
      <c r="K65" s="147"/>
      <c r="L65" s="147"/>
      <c r="M65" s="147"/>
      <c r="N65" s="147"/>
      <c r="O65" s="147"/>
      <c r="P65" s="147"/>
      <c r="Q65" s="147"/>
      <c r="R65" s="551">
        <f>SUM(E65:Q65)</f>
        <v>125000</v>
      </c>
      <c r="S65" s="147">
        <v>37500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2730</v>
      </c>
      <c r="B69" s="146">
        <f>SUM(C69+D69)</f>
        <v>295000</v>
      </c>
      <c r="C69" s="147">
        <v>295000</v>
      </c>
      <c r="D69" s="147"/>
      <c r="E69" s="147">
        <f>C69</f>
        <v>295000</v>
      </c>
      <c r="F69" s="147"/>
      <c r="G69" s="147"/>
      <c r="H69" s="147"/>
      <c r="I69" s="147"/>
      <c r="J69" s="147"/>
      <c r="K69" s="147"/>
      <c r="L69" s="147"/>
      <c r="M69" s="147"/>
      <c r="N69" s="147"/>
      <c r="O69" s="147"/>
      <c r="P69" s="147"/>
      <c r="Q69" s="147"/>
      <c r="R69" s="551">
        <f>SUM(E69:Q69)</f>
        <v>295000</v>
      </c>
      <c r="S69" s="147">
        <v>95000</v>
      </c>
      <c r="T69" s="147"/>
      <c r="U69" s="143"/>
    </row>
    <row r="70" spans="1:21" s="144" customFormat="1">
      <c r="A70" s="149" t="s">
        <v>1826</v>
      </c>
      <c r="B70" s="146">
        <f>SUM(C70:D70)</f>
        <v>420000</v>
      </c>
      <c r="C70" s="146">
        <f>SUM(C65:C69)</f>
        <v>420000</v>
      </c>
      <c r="D70" s="146">
        <f>SUM(D65:D69)</f>
        <v>0</v>
      </c>
      <c r="E70" s="146">
        <f t="shared" ref="E70:T70" si="17">SUM(E65:E69)</f>
        <v>420000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420000</v>
      </c>
      <c r="S70" s="150">
        <f t="shared" si="17"/>
        <v>132500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192865</v>
      </c>
      <c r="C75" s="147">
        <v>192865</v>
      </c>
      <c r="D75" s="147"/>
      <c r="E75" s="147">
        <f>C75</f>
        <v>192865</v>
      </c>
      <c r="F75" s="147"/>
      <c r="G75" s="147"/>
      <c r="H75" s="147"/>
      <c r="I75" s="147"/>
      <c r="J75" s="147"/>
      <c r="K75" s="147"/>
      <c r="L75" s="147"/>
      <c r="M75" s="147"/>
      <c r="N75" s="147"/>
      <c r="O75" s="147"/>
      <c r="P75" s="147"/>
      <c r="Q75" s="147"/>
      <c r="R75" s="551">
        <f>SUM(E75:Q75)</f>
        <v>192865</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192865</v>
      </c>
      <c r="C77" s="146">
        <f>SUM(C72:C76)</f>
        <v>192865</v>
      </c>
      <c r="D77" s="146">
        <f>SUM(D72:D76)</f>
        <v>0</v>
      </c>
      <c r="E77" s="146">
        <f t="shared" ref="E77:Q77" si="18">SUM(E72:E76)</f>
        <v>192865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192865</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1363698</v>
      </c>
      <c r="C79" s="147">
        <v>1363698</v>
      </c>
      <c r="D79" s="147"/>
      <c r="E79" s="147">
        <f>C79</f>
        <v>1363698</v>
      </c>
      <c r="F79" s="147"/>
      <c r="G79" s="147"/>
      <c r="H79" s="147"/>
      <c r="I79" s="147"/>
      <c r="J79" s="147"/>
      <c r="K79" s="147"/>
      <c r="L79" s="147"/>
      <c r="M79" s="147"/>
      <c r="N79" s="147"/>
      <c r="O79" s="147"/>
      <c r="P79" s="147"/>
      <c r="Q79" s="147"/>
      <c r="R79" s="551">
        <f>SUM(E79:Q79)</f>
        <v>1363698</v>
      </c>
      <c r="S79" s="147">
        <v>700000</v>
      </c>
      <c r="T79" s="147"/>
      <c r="U79" s="143"/>
    </row>
    <row r="80" spans="1:21" s="144" customFormat="1">
      <c r="A80" s="304" t="s">
        <v>58</v>
      </c>
      <c r="B80" s="146">
        <f>SUM(C80:D80)</f>
        <v>100000</v>
      </c>
      <c r="C80" s="147">
        <v>100000</v>
      </c>
      <c r="D80" s="147"/>
      <c r="E80" s="147">
        <f>C80</f>
        <v>100000</v>
      </c>
      <c r="F80" s="147"/>
      <c r="G80" s="147"/>
      <c r="H80" s="147"/>
      <c r="I80" s="147"/>
      <c r="J80" s="147"/>
      <c r="K80" s="147"/>
      <c r="L80" s="147"/>
      <c r="M80" s="147"/>
      <c r="N80" s="147"/>
      <c r="O80" s="147"/>
      <c r="P80" s="147"/>
      <c r="Q80" s="147"/>
      <c r="R80" s="551">
        <f>SUM(E80:Q80)</f>
        <v>100000</v>
      </c>
      <c r="S80" s="147">
        <v>37500</v>
      </c>
      <c r="T80" s="147"/>
      <c r="U80" s="143"/>
    </row>
    <row r="81" spans="1:21" s="144" customFormat="1">
      <c r="A81" s="149" t="s">
        <v>1352</v>
      </c>
      <c r="B81" s="146">
        <f>SUM(C81:D81)</f>
        <v>1463698</v>
      </c>
      <c r="C81" s="544">
        <f>SUM(C79:C80)</f>
        <v>1463698</v>
      </c>
      <c r="D81" s="544">
        <f t="shared" ref="D81:T81" si="19">SUM(D79:D80)</f>
        <v>0</v>
      </c>
      <c r="E81" s="544">
        <f t="shared" si="19"/>
        <v>1463698</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1463698</v>
      </c>
      <c r="S81" s="544">
        <f t="shared" si="19"/>
        <v>737500</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2515</v>
      </c>
      <c r="B83" s="146">
        <f t="shared" ref="B83:B95" si="20">SUM(C83+D83)</f>
        <v>59764</v>
      </c>
      <c r="C83" s="147">
        <f>49764+10000</f>
        <v>59764</v>
      </c>
      <c r="D83" s="147"/>
      <c r="E83" s="147">
        <f>C83</f>
        <v>59764</v>
      </c>
      <c r="F83" s="147"/>
      <c r="G83" s="147"/>
      <c r="H83" s="147"/>
      <c r="I83" s="147"/>
      <c r="J83" s="147"/>
      <c r="K83" s="147"/>
      <c r="L83" s="147"/>
      <c r="M83" s="147"/>
      <c r="N83" s="147"/>
      <c r="O83" s="147"/>
      <c r="P83" s="147"/>
      <c r="Q83" s="147"/>
      <c r="R83" s="551">
        <f t="shared" ref="R83:R95" si="21">SUM(E83:Q83)</f>
        <v>59764</v>
      </c>
      <c r="S83" s="148"/>
      <c r="T83" s="148"/>
      <c r="U83" s="143"/>
    </row>
    <row r="84" spans="1:21" s="144" customFormat="1">
      <c r="A84" s="145" t="s">
        <v>792</v>
      </c>
      <c r="B84" s="146">
        <f t="shared" si="20"/>
        <v>149035</v>
      </c>
      <c r="C84" s="147">
        <v>149035</v>
      </c>
      <c r="D84" s="147"/>
      <c r="E84" s="147">
        <f>C84</f>
        <v>149035</v>
      </c>
      <c r="F84" s="147"/>
      <c r="G84" s="147"/>
      <c r="H84" s="147"/>
      <c r="I84" s="147"/>
      <c r="J84" s="147"/>
      <c r="K84" s="147"/>
      <c r="L84" s="147"/>
      <c r="M84" s="147"/>
      <c r="N84" s="147"/>
      <c r="O84" s="147"/>
      <c r="P84" s="147"/>
      <c r="Q84" s="147"/>
      <c r="R84" s="551">
        <f t="shared" si="21"/>
        <v>149035</v>
      </c>
      <c r="S84" s="147">
        <f>R84</f>
        <v>149035</v>
      </c>
      <c r="T84" s="147"/>
      <c r="U84" s="143"/>
    </row>
    <row r="85" spans="1:21" s="144" customFormat="1">
      <c r="A85" s="145" t="s">
        <v>793</v>
      </c>
      <c r="B85" s="146">
        <f t="shared" si="20"/>
        <v>1474224</v>
      </c>
      <c r="C85" s="147">
        <v>1474224</v>
      </c>
      <c r="D85" s="147"/>
      <c r="E85" s="147">
        <f>C85</f>
        <v>1474224</v>
      </c>
      <c r="F85" s="147"/>
      <c r="G85" s="147"/>
      <c r="H85" s="147"/>
      <c r="I85" s="147"/>
      <c r="J85" s="147"/>
      <c r="K85" s="147"/>
      <c r="L85" s="147"/>
      <c r="M85" s="147"/>
      <c r="N85" s="147"/>
      <c r="O85" s="147"/>
      <c r="P85" s="147"/>
      <c r="Q85" s="147"/>
      <c r="R85" s="551">
        <f t="shared" si="21"/>
        <v>1474224</v>
      </c>
      <c r="S85" s="147">
        <f>R85</f>
        <v>1474224</v>
      </c>
      <c r="T85" s="147"/>
      <c r="U85" s="143"/>
    </row>
    <row r="86" spans="1:21" s="144" customFormat="1">
      <c r="A86" s="145" t="s">
        <v>794</v>
      </c>
      <c r="B86" s="146">
        <f t="shared" si="20"/>
        <v>425776</v>
      </c>
      <c r="C86" s="147">
        <v>425776</v>
      </c>
      <c r="D86" s="147"/>
      <c r="E86" s="147">
        <f>C86</f>
        <v>425776</v>
      </c>
      <c r="F86" s="147"/>
      <c r="G86" s="147"/>
      <c r="H86" s="147"/>
      <c r="I86" s="147"/>
      <c r="J86" s="147"/>
      <c r="K86" s="147"/>
      <c r="L86" s="147"/>
      <c r="M86" s="147"/>
      <c r="N86" s="147"/>
      <c r="O86" s="147"/>
      <c r="P86" s="147"/>
      <c r="Q86" s="147"/>
      <c r="R86" s="551">
        <f t="shared" si="21"/>
        <v>425776</v>
      </c>
      <c r="S86" s="147">
        <f>R86</f>
        <v>425776</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120000</v>
      </c>
      <c r="C88" s="147">
        <v>120000</v>
      </c>
      <c r="D88" s="147"/>
      <c r="E88" s="147">
        <f t="shared" ref="E88:E95" si="22">C88</f>
        <v>120000</v>
      </c>
      <c r="F88" s="147"/>
      <c r="G88" s="147"/>
      <c r="H88" s="147"/>
      <c r="I88" s="147"/>
      <c r="J88" s="147"/>
      <c r="K88" s="147"/>
      <c r="L88" s="147"/>
      <c r="M88" s="147"/>
      <c r="N88" s="147"/>
      <c r="O88" s="147"/>
      <c r="P88" s="147"/>
      <c r="Q88" s="147"/>
      <c r="R88" s="551">
        <f t="shared" si="21"/>
        <v>120000</v>
      </c>
      <c r="S88" s="148"/>
      <c r="T88" s="148"/>
      <c r="U88" s="143"/>
    </row>
    <row r="89" spans="1:21" s="144" customFormat="1">
      <c r="A89" s="145" t="s">
        <v>797</v>
      </c>
      <c r="B89" s="146">
        <f t="shared" si="20"/>
        <v>150000</v>
      </c>
      <c r="C89" s="147">
        <v>150000</v>
      </c>
      <c r="D89" s="147"/>
      <c r="E89" s="147">
        <f t="shared" si="22"/>
        <v>150000</v>
      </c>
      <c r="F89" s="147"/>
      <c r="G89" s="147"/>
      <c r="H89" s="147"/>
      <c r="I89" s="147"/>
      <c r="J89" s="147"/>
      <c r="K89" s="147"/>
      <c r="L89" s="147"/>
      <c r="M89" s="147"/>
      <c r="N89" s="147"/>
      <c r="O89" s="147"/>
      <c r="P89" s="147"/>
      <c r="Q89" s="147"/>
      <c r="R89" s="551">
        <f t="shared" si="21"/>
        <v>150000</v>
      </c>
      <c r="S89" s="147">
        <f>R89</f>
        <v>150000</v>
      </c>
      <c r="T89" s="147"/>
      <c r="U89" s="143"/>
    </row>
    <row r="90" spans="1:21" s="144" customFormat="1">
      <c r="A90" s="145" t="s">
        <v>798</v>
      </c>
      <c r="B90" s="146">
        <f t="shared" si="20"/>
        <v>6200</v>
      </c>
      <c r="C90" s="147">
        <v>6200</v>
      </c>
      <c r="D90" s="147"/>
      <c r="E90" s="147">
        <f t="shared" si="22"/>
        <v>6200</v>
      </c>
      <c r="F90" s="147"/>
      <c r="G90" s="147"/>
      <c r="H90" s="147"/>
      <c r="I90" s="147"/>
      <c r="J90" s="147"/>
      <c r="K90" s="147"/>
      <c r="L90" s="147"/>
      <c r="M90" s="147"/>
      <c r="N90" s="147"/>
      <c r="O90" s="147"/>
      <c r="P90" s="147"/>
      <c r="Q90" s="147"/>
      <c r="R90" s="551">
        <f t="shared" si="21"/>
        <v>6200</v>
      </c>
      <c r="S90" s="147">
        <f>R90</f>
        <v>6200</v>
      </c>
      <c r="T90" s="147"/>
      <c r="U90" s="143"/>
    </row>
    <row r="91" spans="1:21" s="144" customFormat="1">
      <c r="A91" s="145" t="s">
        <v>374</v>
      </c>
      <c r="B91" s="146">
        <f t="shared" si="20"/>
        <v>50500</v>
      </c>
      <c r="C91" s="147">
        <v>50500</v>
      </c>
      <c r="D91" s="147"/>
      <c r="E91" s="147">
        <f t="shared" si="22"/>
        <v>50500</v>
      </c>
      <c r="F91" s="147"/>
      <c r="G91" s="147"/>
      <c r="H91" s="147"/>
      <c r="I91" s="147"/>
      <c r="J91" s="147"/>
      <c r="K91" s="147"/>
      <c r="L91" s="147"/>
      <c r="M91" s="147"/>
      <c r="N91" s="147"/>
      <c r="O91" s="147"/>
      <c r="P91" s="147"/>
      <c r="Q91" s="147"/>
      <c r="R91" s="551">
        <f t="shared" si="21"/>
        <v>50500</v>
      </c>
      <c r="S91" s="147">
        <v>15000</v>
      </c>
      <c r="T91" s="147"/>
      <c r="U91" s="143"/>
    </row>
    <row r="92" spans="1:21" s="144" customFormat="1">
      <c r="A92" s="304" t="s">
        <v>1354</v>
      </c>
      <c r="B92" s="146">
        <f t="shared" si="20"/>
        <v>3000</v>
      </c>
      <c r="C92" s="147">
        <v>3000</v>
      </c>
      <c r="D92" s="147"/>
      <c r="E92" s="147">
        <f t="shared" si="22"/>
        <v>3000</v>
      </c>
      <c r="F92" s="147"/>
      <c r="G92" s="147"/>
      <c r="H92" s="147"/>
      <c r="I92" s="147"/>
      <c r="J92" s="147"/>
      <c r="K92" s="147"/>
      <c r="L92" s="147"/>
      <c r="M92" s="147"/>
      <c r="N92" s="147"/>
      <c r="O92" s="147"/>
      <c r="P92" s="147"/>
      <c r="Q92" s="147"/>
      <c r="R92" s="551">
        <f t="shared" si="21"/>
        <v>3000</v>
      </c>
      <c r="S92" s="147">
        <f>R92</f>
        <v>3000</v>
      </c>
      <c r="T92" s="147"/>
      <c r="U92" s="143"/>
    </row>
    <row r="93" spans="1:21" s="144" customFormat="1">
      <c r="A93" s="1202" t="s">
        <v>2731</v>
      </c>
      <c r="B93" s="146">
        <f t="shared" si="20"/>
        <v>125000</v>
      </c>
      <c r="C93" s="147">
        <v>125000</v>
      </c>
      <c r="D93" s="147"/>
      <c r="E93" s="147">
        <f t="shared" si="22"/>
        <v>125000</v>
      </c>
      <c r="F93" s="147"/>
      <c r="G93" s="147"/>
      <c r="H93" s="147"/>
      <c r="I93" s="147"/>
      <c r="J93" s="147"/>
      <c r="K93" s="147"/>
      <c r="L93" s="147"/>
      <c r="M93" s="147"/>
      <c r="N93" s="147"/>
      <c r="O93" s="147"/>
      <c r="P93" s="147"/>
      <c r="Q93" s="147"/>
      <c r="R93" s="551">
        <f t="shared" si="21"/>
        <v>125000</v>
      </c>
      <c r="S93" s="147">
        <f>R93</f>
        <v>125000</v>
      </c>
      <c r="T93" s="147"/>
      <c r="U93" s="143"/>
    </row>
    <row r="94" spans="1:21" s="144" customFormat="1">
      <c r="A94" s="1202" t="s">
        <v>2732</v>
      </c>
      <c r="B94" s="146">
        <f t="shared" si="20"/>
        <v>20000</v>
      </c>
      <c r="C94" s="147">
        <v>20000</v>
      </c>
      <c r="D94" s="147"/>
      <c r="E94" s="147">
        <f t="shared" si="22"/>
        <v>20000</v>
      </c>
      <c r="F94" s="147"/>
      <c r="G94" s="147"/>
      <c r="H94" s="147"/>
      <c r="I94" s="147"/>
      <c r="J94" s="147"/>
      <c r="K94" s="147"/>
      <c r="L94" s="147"/>
      <c r="M94" s="147"/>
      <c r="N94" s="147"/>
      <c r="O94" s="147"/>
      <c r="P94" s="147"/>
      <c r="Q94" s="147"/>
      <c r="R94" s="551">
        <f t="shared" si="21"/>
        <v>20000</v>
      </c>
      <c r="S94" s="147">
        <f>R94</f>
        <v>20000</v>
      </c>
      <c r="T94" s="147"/>
      <c r="U94" s="143"/>
    </row>
    <row r="95" spans="1:21" s="144" customFormat="1">
      <c r="A95" s="1202" t="s">
        <v>2733</v>
      </c>
      <c r="B95" s="146">
        <f t="shared" si="20"/>
        <v>265000</v>
      </c>
      <c r="C95" s="147">
        <v>265000</v>
      </c>
      <c r="D95" s="147"/>
      <c r="E95" s="147">
        <f t="shared" si="22"/>
        <v>265000</v>
      </c>
      <c r="F95" s="147"/>
      <c r="G95" s="147"/>
      <c r="H95" s="147"/>
      <c r="I95" s="147"/>
      <c r="J95" s="147"/>
      <c r="K95" s="147"/>
      <c r="L95" s="147"/>
      <c r="M95" s="147"/>
      <c r="N95" s="147"/>
      <c r="O95" s="147"/>
      <c r="P95" s="147"/>
      <c r="Q95" s="147"/>
      <c r="R95" s="551">
        <f t="shared" si="21"/>
        <v>265000</v>
      </c>
      <c r="S95" s="147">
        <f>R95</f>
        <v>265000</v>
      </c>
      <c r="T95" s="147"/>
      <c r="U95" s="143"/>
    </row>
    <row r="96" spans="1:21" s="144" customFormat="1">
      <c r="A96" s="149" t="s">
        <v>799</v>
      </c>
      <c r="B96" s="146">
        <f>SUM(C96:D96)</f>
        <v>2848499</v>
      </c>
      <c r="C96" s="146">
        <f t="shared" ref="C96:R96" si="23">SUM(C83:C95)</f>
        <v>2848499</v>
      </c>
      <c r="D96" s="146">
        <f t="shared" si="23"/>
        <v>0</v>
      </c>
      <c r="E96" s="146">
        <f t="shared" si="23"/>
        <v>2848499</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2848499</v>
      </c>
      <c r="S96" s="150">
        <f>SUM(S84:S87,S89:S95)</f>
        <v>2633235</v>
      </c>
      <c r="T96" s="146">
        <f>SUM(T84:T87,T89:T95)</f>
        <v>0</v>
      </c>
      <c r="U96" s="143"/>
    </row>
    <row r="97" spans="1:21" s="144" customFormat="1">
      <c r="A97" s="149" t="s">
        <v>800</v>
      </c>
      <c r="B97" s="146">
        <f>SUM(C97:D97)</f>
        <v>41036817</v>
      </c>
      <c r="C97" s="146">
        <f t="shared" ref="C97:R97" si="24">SUM(C63+C70+C77+C81+C96)</f>
        <v>41036817</v>
      </c>
      <c r="D97" s="146">
        <f t="shared" si="24"/>
        <v>0</v>
      </c>
      <c r="E97" s="146">
        <f t="shared" si="24"/>
        <v>21931131</v>
      </c>
      <c r="F97" s="146">
        <f t="shared" si="24"/>
        <v>4233000</v>
      </c>
      <c r="G97" s="146">
        <f t="shared" si="24"/>
        <v>14442686</v>
      </c>
      <c r="H97" s="146">
        <f t="shared" si="24"/>
        <v>430000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41036817</v>
      </c>
      <c r="S97" s="146">
        <f>SUM(S63+S70+S81+S96)</f>
        <v>34449473</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3000000</v>
      </c>
      <c r="C99" s="1016">
        <v>3000000</v>
      </c>
      <c r="D99" s="1016"/>
      <c r="E99" s="1016">
        <v>2200000</v>
      </c>
      <c r="F99" s="147"/>
      <c r="G99" s="147"/>
      <c r="H99" s="147"/>
      <c r="I99" s="147">
        <v>800000</v>
      </c>
      <c r="J99" s="147"/>
      <c r="K99" s="147"/>
      <c r="L99" s="147"/>
      <c r="M99" s="147"/>
      <c r="N99" s="147"/>
      <c r="O99" s="147"/>
      <c r="P99" s="147"/>
      <c r="Q99" s="147"/>
      <c r="R99" s="551">
        <f>SUM(E99:Q99)</f>
        <v>3000000</v>
      </c>
      <c r="S99" s="147">
        <f>R99</f>
        <v>3000000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3000000</v>
      </c>
      <c r="C104" s="146">
        <f>SUM(C99:C103)</f>
        <v>3000000</v>
      </c>
      <c r="D104" s="146">
        <f t="shared" ref="D104:T104" si="25">SUM(D99:D103)</f>
        <v>0</v>
      </c>
      <c r="E104" s="146">
        <f t="shared" si="25"/>
        <v>2200000</v>
      </c>
      <c r="F104" s="146">
        <f t="shared" si="25"/>
        <v>0</v>
      </c>
      <c r="G104" s="146">
        <f t="shared" si="25"/>
        <v>0</v>
      </c>
      <c r="H104" s="146">
        <f t="shared" si="25"/>
        <v>0</v>
      </c>
      <c r="I104" s="146">
        <f t="shared" si="25"/>
        <v>800000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1">
        <f t="shared" si="25"/>
        <v>3000000</v>
      </c>
      <c r="S104" s="150">
        <f t="shared" si="25"/>
        <v>3000000</v>
      </c>
      <c r="T104" s="150">
        <f t="shared" si="25"/>
        <v>0</v>
      </c>
      <c r="U104" s="143"/>
    </row>
    <row r="105" spans="1:21" s="144" customFormat="1">
      <c r="A105" s="149" t="s">
        <v>805</v>
      </c>
      <c r="B105" s="150">
        <f>SUM(C105:D105)</f>
        <v>44036817</v>
      </c>
      <c r="C105" s="150">
        <f t="shared" ref="C105:R105" si="26">SUM(C97+C104)</f>
        <v>44036817</v>
      </c>
      <c r="D105" s="150">
        <f t="shared" si="26"/>
        <v>0</v>
      </c>
      <c r="E105" s="150">
        <f t="shared" si="26"/>
        <v>24131131</v>
      </c>
      <c r="F105" s="150">
        <f t="shared" si="26"/>
        <v>4233000</v>
      </c>
      <c r="G105" s="150">
        <f t="shared" si="26"/>
        <v>14442686</v>
      </c>
      <c r="H105" s="150">
        <f t="shared" si="26"/>
        <v>430000</v>
      </c>
      <c r="I105" s="150">
        <f t="shared" si="26"/>
        <v>800000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1">
        <f t="shared" si="26"/>
        <v>44036817</v>
      </c>
      <c r="S105" s="150">
        <f>S97+S104</f>
        <v>37449473</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37449473</v>
      </c>
      <c r="T107" s="150">
        <f>T105+T106</f>
        <v>0</v>
      </c>
    </row>
    <row r="108" spans="1:21" s="201" customFormat="1">
      <c r="A108" s="162" t="s">
        <v>909</v>
      </c>
      <c r="B108" s="157"/>
      <c r="C108" s="157"/>
      <c r="D108" s="157"/>
      <c r="E108" s="323">
        <f>Application!AO636</f>
        <v>24131131</v>
      </c>
      <c r="F108" s="323">
        <f>Application!AO623</f>
        <v>4233000</v>
      </c>
      <c r="G108" s="323">
        <f>Application!AO624</f>
        <v>14442686</v>
      </c>
      <c r="H108" s="323">
        <f>Application!AO625</f>
        <v>430000</v>
      </c>
      <c r="I108" s="323">
        <f>Application!AO626</f>
        <v>800000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2516</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79" t="s">
        <v>1047</v>
      </c>
      <c r="E122" s="1879"/>
      <c r="F122" s="1879"/>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70" t="s">
        <v>1371</v>
      </c>
      <c r="E123" s="1871"/>
      <c r="F123" s="1871"/>
      <c r="G123" s="1871"/>
      <c r="H123" s="1871"/>
      <c r="I123" s="1871"/>
      <c r="J123" s="1871"/>
      <c r="K123" s="1871"/>
      <c r="L123" s="1871"/>
      <c r="M123" s="1871"/>
      <c r="N123" s="1871"/>
      <c r="O123" s="1871"/>
      <c r="P123" s="1871"/>
      <c r="Q123" s="1871"/>
      <c r="R123" s="1871"/>
      <c r="S123" s="1871"/>
      <c r="T123" s="353"/>
      <c r="U123" s="355"/>
    </row>
    <row r="124" spans="1:21" ht="12.75">
      <c r="A124" s="117" t="s">
        <v>1049</v>
      </c>
      <c r="B124" s="362"/>
      <c r="C124" s="117"/>
      <c r="D124" s="1871"/>
      <c r="E124" s="1871"/>
      <c r="F124" s="1871"/>
      <c r="G124" s="1871"/>
      <c r="H124" s="1871"/>
      <c r="I124" s="1871"/>
      <c r="J124" s="1871"/>
      <c r="K124" s="1871"/>
      <c r="L124" s="1871"/>
      <c r="M124" s="1871"/>
      <c r="N124" s="1871"/>
      <c r="O124" s="1871"/>
      <c r="P124" s="1871"/>
      <c r="Q124" s="1871"/>
      <c r="R124" s="1871"/>
      <c r="S124" s="1871"/>
      <c r="T124" s="353"/>
      <c r="U124" s="355"/>
    </row>
    <row r="125" spans="1:21" ht="12.75">
      <c r="A125" s="117" t="s">
        <v>1050</v>
      </c>
      <c r="B125" s="362"/>
      <c r="C125" s="117"/>
      <c r="D125" s="1871"/>
      <c r="E125" s="1871"/>
      <c r="F125" s="1871"/>
      <c r="G125" s="1871"/>
      <c r="H125" s="1871"/>
      <c r="I125" s="1871"/>
      <c r="J125" s="1871"/>
      <c r="K125" s="1871"/>
      <c r="L125" s="1871"/>
      <c r="M125" s="1871"/>
      <c r="N125" s="1871"/>
      <c r="O125" s="1871"/>
      <c r="P125" s="1871"/>
      <c r="Q125" s="1871"/>
      <c r="R125" s="1871"/>
      <c r="S125" s="1871"/>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74"/>
      <c r="E128" s="1874"/>
      <c r="F128" s="1874"/>
      <c r="G128" s="1874"/>
      <c r="H128" s="1874"/>
      <c r="I128" s="117"/>
      <c r="J128" s="1869"/>
      <c r="K128" s="1869"/>
      <c r="L128" s="117"/>
      <c r="M128" s="117"/>
      <c r="N128" s="117"/>
      <c r="O128" s="117"/>
      <c r="P128" s="117"/>
      <c r="Q128" s="117"/>
      <c r="R128" s="117"/>
      <c r="S128" s="117"/>
      <c r="T128" s="353"/>
      <c r="U128" s="355"/>
    </row>
    <row r="129" spans="1:21" ht="12.75">
      <c r="A129" s="117" t="s">
        <v>302</v>
      </c>
      <c r="B129" s="362"/>
      <c r="C129" s="117"/>
      <c r="D129" s="1878" t="s">
        <v>1054</v>
      </c>
      <c r="E129" s="1878"/>
      <c r="F129" s="1878"/>
      <c r="G129" s="1878"/>
      <c r="H129" s="1878"/>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72" t="s">
        <v>1057</v>
      </c>
      <c r="E132" s="1872"/>
      <c r="F132" s="1872"/>
      <c r="G132" s="1872"/>
      <c r="H132" s="1872"/>
      <c r="I132" s="117"/>
      <c r="J132" s="1872" t="s">
        <v>1058</v>
      </c>
      <c r="K132" s="1872"/>
      <c r="L132" s="1872"/>
      <c r="M132" s="187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3"/>
      <c r="B138" s="1874"/>
      <c r="C138" s="1874"/>
      <c r="D138" s="357"/>
      <c r="E138" s="1869"/>
      <c r="F138" s="1869"/>
      <c r="G138" s="117"/>
      <c r="H138" s="117"/>
      <c r="I138" s="117"/>
      <c r="J138" s="117"/>
      <c r="K138" s="117"/>
      <c r="L138" s="117"/>
      <c r="M138" s="117"/>
      <c r="N138" s="117"/>
      <c r="O138" s="117"/>
      <c r="P138" s="117"/>
      <c r="Q138" s="117"/>
      <c r="R138" s="117"/>
      <c r="S138" s="117"/>
      <c r="T138" s="359"/>
      <c r="U138" s="360"/>
    </row>
    <row r="139" spans="1:21" ht="12.75">
      <c r="A139" s="1868" t="s">
        <v>1061</v>
      </c>
      <c r="B139" s="1868"/>
      <c r="C139" s="1868"/>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82" t="s">
        <v>1374</v>
      </c>
      <c r="B1" s="1883"/>
      <c r="C1" s="1883"/>
      <c r="D1" s="1883"/>
      <c r="E1" s="1883"/>
      <c r="F1" s="1883"/>
      <c r="G1" s="1883"/>
      <c r="H1" s="1883"/>
      <c r="I1" s="1883"/>
      <c r="J1" s="1884"/>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1400000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1400000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250000</v>
      </c>
      <c r="C10" s="394"/>
      <c r="D10" s="394"/>
      <c r="E10" s="393">
        <f>'Sources and Uses Budget'!S10</f>
        <v>250000</v>
      </c>
      <c r="F10" s="394"/>
      <c r="G10" s="394"/>
      <c r="H10" s="393">
        <f>'Sources and Uses Budget'!T10</f>
        <v>0</v>
      </c>
      <c r="I10" s="394"/>
      <c r="J10" s="394"/>
      <c r="K10" s="391"/>
    </row>
    <row r="11" spans="1:11" s="392" customFormat="1">
      <c r="A11" s="397" t="s">
        <v>606</v>
      </c>
      <c r="B11" s="393">
        <f>'Sources and Uses Budget'!C11</f>
        <v>250000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1650000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3789930</v>
      </c>
      <c r="C29" s="394"/>
      <c r="D29" s="394"/>
      <c r="E29" s="393">
        <f>'Sources and Uses Budget'!S29</f>
        <v>3789930</v>
      </c>
      <c r="F29" s="394"/>
      <c r="G29" s="394"/>
      <c r="H29" s="393">
        <f>'Sources and Uses Budget'!T29</f>
        <v>0</v>
      </c>
      <c r="I29" s="394"/>
      <c r="J29" s="394"/>
      <c r="K29" s="391"/>
    </row>
    <row r="30" spans="1:11" s="392" customFormat="1">
      <c r="A30" s="145" t="s">
        <v>609</v>
      </c>
      <c r="B30" s="393">
        <f>'Sources and Uses Budget'!C30</f>
        <v>18641685</v>
      </c>
      <c r="C30" s="394"/>
      <c r="D30" s="394"/>
      <c r="E30" s="393">
        <f>'Sources and Uses Budget'!S30</f>
        <v>18641685</v>
      </c>
      <c r="F30" s="394"/>
      <c r="G30" s="394"/>
      <c r="H30" s="393">
        <f>'Sources and Uses Budget'!T30</f>
        <v>0</v>
      </c>
      <c r="I30" s="394"/>
      <c r="J30" s="394"/>
      <c r="K30" s="391"/>
    </row>
    <row r="31" spans="1:11" s="392" customFormat="1">
      <c r="A31" s="145" t="s">
        <v>610</v>
      </c>
      <c r="B31" s="393">
        <f>'Sources and Uses Budget'!C31</f>
        <v>1300000</v>
      </c>
      <c r="C31" s="394"/>
      <c r="D31" s="394"/>
      <c r="E31" s="393">
        <f>'Sources and Uses Budget'!S31</f>
        <v>1300000</v>
      </c>
      <c r="F31" s="394"/>
      <c r="G31" s="394"/>
      <c r="H31" s="393">
        <f>'Sources and Uses Budget'!T31</f>
        <v>0</v>
      </c>
      <c r="I31" s="394"/>
      <c r="J31" s="394"/>
      <c r="K31" s="391"/>
    </row>
    <row r="32" spans="1:11" s="392" customFormat="1">
      <c r="A32" s="145" t="s">
        <v>138</v>
      </c>
      <c r="B32" s="393">
        <f>'Sources and Uses Budget'!C32</f>
        <v>1200000</v>
      </c>
      <c r="C32" s="394"/>
      <c r="D32" s="394"/>
      <c r="E32" s="393">
        <f>'Sources and Uses Budget'!S32</f>
        <v>1200000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592339</v>
      </c>
      <c r="C35" s="394"/>
      <c r="D35" s="394"/>
      <c r="E35" s="393">
        <f>'Sources and Uses Budget'!S35</f>
        <v>592339</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Solar</v>
      </c>
      <c r="B37" s="393">
        <f>'Sources and Uses Budget'!C37</f>
        <v>1500000</v>
      </c>
      <c r="C37" s="394"/>
      <c r="D37" s="394"/>
      <c r="E37" s="393">
        <f>'Sources and Uses Budget'!S37</f>
        <v>1500000</v>
      </c>
      <c r="F37" s="394"/>
      <c r="G37" s="394"/>
      <c r="H37" s="393">
        <f>'Sources and Uses Budget'!T37</f>
        <v>0</v>
      </c>
      <c r="I37" s="394"/>
      <c r="J37" s="394"/>
      <c r="K37" s="391"/>
    </row>
    <row r="38" spans="1:11" s="392" customFormat="1">
      <c r="A38" s="397" t="s">
        <v>144</v>
      </c>
      <c r="B38" s="393">
        <f>'Sources and Uses Budget'!C38</f>
        <v>27023954</v>
      </c>
      <c r="C38" s="393">
        <f>SUM(C29:C37)</f>
        <v>0</v>
      </c>
      <c r="D38" s="393">
        <f>SUM(D29:D37)</f>
        <v>0</v>
      </c>
      <c r="E38" s="393">
        <f>'Sources and Uses Budget'!S38</f>
        <v>27023954</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795659</v>
      </c>
      <c r="C40" s="394"/>
      <c r="D40" s="394"/>
      <c r="E40" s="393">
        <f>'Sources and Uses Budget'!S40</f>
        <v>795659</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795659</v>
      </c>
      <c r="C42" s="393">
        <f>SUM(C39:C41)</f>
        <v>0</v>
      </c>
      <c r="D42" s="393">
        <f>SUM(D39:D41)</f>
        <v>0</v>
      </c>
      <c r="E42" s="393">
        <f>'Sources and Uses Budget'!S42</f>
        <v>795659</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145000</v>
      </c>
      <c r="C43" s="394"/>
      <c r="D43" s="394"/>
      <c r="E43" s="393">
        <f>'Sources and Uses Budget'!S43</f>
        <v>145000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4700000</v>
      </c>
      <c r="C45" s="394"/>
      <c r="D45" s="394"/>
      <c r="E45" s="393">
        <f>'Sources and Uses Budget'!S45</f>
        <v>1800000</v>
      </c>
      <c r="F45" s="394"/>
      <c r="G45" s="394"/>
      <c r="H45" s="393">
        <f>'Sources and Uses Budget'!T45</f>
        <v>0</v>
      </c>
      <c r="I45" s="394"/>
      <c r="J45" s="394"/>
      <c r="K45" s="391"/>
    </row>
    <row r="46" spans="1:11" s="392" customFormat="1">
      <c r="A46" s="396" t="s">
        <v>152</v>
      </c>
      <c r="B46" s="393">
        <f>'Sources and Uses Budget'!C46</f>
        <v>387000</v>
      </c>
      <c r="C46" s="394"/>
      <c r="D46" s="394"/>
      <c r="E46" s="393">
        <f>'Sources and Uses Budget'!S46</f>
        <v>193500</v>
      </c>
      <c r="F46" s="394"/>
      <c r="G46" s="394"/>
      <c r="H46" s="393">
        <f>'Sources and Uses Budget'!T46</f>
        <v>0</v>
      </c>
      <c r="I46" s="394"/>
      <c r="J46" s="394"/>
      <c r="K46" s="391"/>
    </row>
    <row r="47" spans="1:11" s="392" customFormat="1" ht="12" customHeight="1">
      <c r="A47" s="396" t="s">
        <v>153</v>
      </c>
      <c r="B47" s="393">
        <f>'Sources and Uses Budget'!C47</f>
        <v>88892</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166250</v>
      </c>
      <c r="C48" s="394"/>
      <c r="D48" s="394"/>
      <c r="E48" s="393">
        <f>'Sources and Uses Budget'!S48</f>
        <v>83125</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150000</v>
      </c>
      <c r="C50" s="394"/>
      <c r="D50" s="394"/>
      <c r="E50" s="393">
        <f>'Sources and Uses Budget'!S50</f>
        <v>0</v>
      </c>
      <c r="F50" s="394"/>
      <c r="G50" s="394"/>
      <c r="H50" s="393">
        <f>'Sources and Uses Budget'!T50</f>
        <v>0</v>
      </c>
      <c r="I50" s="394"/>
      <c r="J50" s="394"/>
      <c r="K50" s="391"/>
    </row>
    <row r="51" spans="1:11" s="392" customFormat="1">
      <c r="A51" s="396" t="s">
        <v>155</v>
      </c>
      <c r="B51" s="393">
        <f>'Sources and Uses Budget'!C51</f>
        <v>5000</v>
      </c>
      <c r="C51" s="394"/>
      <c r="D51" s="394"/>
      <c r="E51" s="393">
        <f>'Sources and Uses Budget'!S51</f>
        <v>5000</v>
      </c>
      <c r="F51" s="394"/>
      <c r="G51" s="394"/>
      <c r="H51" s="393">
        <f>'Sources and Uses Budget'!T51</f>
        <v>0</v>
      </c>
      <c r="I51" s="394"/>
      <c r="J51" s="394"/>
      <c r="K51" s="391"/>
    </row>
    <row r="52" spans="1:11" s="392" customFormat="1">
      <c r="A52" s="396" t="s">
        <v>156</v>
      </c>
      <c r="B52" s="393">
        <f>'Sources and Uses Budget'!C52</f>
        <v>525000</v>
      </c>
      <c r="C52" s="394"/>
      <c r="D52" s="394"/>
      <c r="E52" s="393">
        <f>'Sources and Uses Budget'!S52</f>
        <v>350000</v>
      </c>
      <c r="F52" s="394"/>
      <c r="G52" s="394"/>
      <c r="H52" s="393">
        <f>'Sources and Uses Budget'!T52</f>
        <v>0</v>
      </c>
      <c r="I52" s="394"/>
      <c r="J52" s="394"/>
      <c r="K52" s="391"/>
    </row>
    <row r="53" spans="1:11" s="392" customFormat="1">
      <c r="A53" s="396" t="str">
        <f>'Sources and Uses Budget'!$A53</f>
        <v>Other: Wetland Mitigation Credits</v>
      </c>
      <c r="B53" s="393">
        <f>'Sources and Uses Budget'!C53</f>
        <v>300000</v>
      </c>
      <c r="C53" s="394"/>
      <c r="D53" s="394"/>
      <c r="E53" s="393">
        <f>'Sources and Uses Budget'!S53</f>
        <v>300000</v>
      </c>
      <c r="F53" s="394"/>
      <c r="G53" s="394"/>
      <c r="H53" s="393">
        <f>'Sources and Uses Budget'!T53</f>
        <v>0</v>
      </c>
      <c r="I53" s="394"/>
      <c r="J53" s="394"/>
      <c r="K53" s="391"/>
    </row>
    <row r="54" spans="1:11" s="401" customFormat="1">
      <c r="A54" s="397" t="s">
        <v>158</v>
      </c>
      <c r="B54" s="393">
        <f>'Sources and Uses Budget'!C54</f>
        <v>6322142</v>
      </c>
      <c r="C54" s="399">
        <f>SUM(C45:C53)</f>
        <v>0</v>
      </c>
      <c r="D54" s="399">
        <f>SUM(D45:D53)</f>
        <v>0</v>
      </c>
      <c r="E54" s="393">
        <f>'Sources and Uses Budget'!S54</f>
        <v>2731625</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50000</v>
      </c>
      <c r="C56" s="394"/>
      <c r="D56" s="394"/>
      <c r="E56" s="395"/>
      <c r="F56" s="395"/>
      <c r="G56" s="395"/>
      <c r="H56" s="395"/>
      <c r="I56" s="395"/>
      <c r="J56" s="395"/>
      <c r="K56" s="391"/>
    </row>
    <row r="57" spans="1:11" s="392" customFormat="1" ht="12" customHeight="1">
      <c r="A57" s="396" t="s">
        <v>153</v>
      </c>
      <c r="B57" s="393">
        <f>'Sources and Uses Budget'!C57</f>
        <v>125000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175000</v>
      </c>
      <c r="C62" s="393">
        <f>SUM(C56:C61)</f>
        <v>0</v>
      </c>
      <c r="D62" s="393">
        <f>SUM(D56:D61)</f>
        <v>0</v>
      </c>
      <c r="E62" s="395"/>
      <c r="F62" s="395"/>
      <c r="G62" s="395"/>
      <c r="H62" s="395"/>
      <c r="I62" s="395"/>
      <c r="J62" s="395"/>
      <c r="K62" s="391"/>
    </row>
    <row r="63" spans="1:11" s="392" customFormat="1">
      <c r="A63" s="402" t="s">
        <v>304</v>
      </c>
      <c r="B63" s="393">
        <f>'Sources and Uses Budget'!C63</f>
        <v>36111755</v>
      </c>
      <c r="C63" s="393">
        <f>SUM(C8+C11+C13+C14+C15+C26+C27+C38+C42+C43+C54+C62)</f>
        <v>0</v>
      </c>
      <c r="D63" s="393">
        <f>SUM(D8+D11+D13+D14+D15+D26+D27+D38+D42+D43+D54+D62)</f>
        <v>0</v>
      </c>
      <c r="E63" s="393">
        <f>'Sources and Uses Budget'!S63</f>
        <v>30946238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125000</v>
      </c>
      <c r="C65" s="394"/>
      <c r="D65" s="394"/>
      <c r="E65" s="393">
        <f>'Sources and Uses Budget'!S65</f>
        <v>37500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24">
      <c r="A69" s="396" t="str">
        <f>'Sources and Uses Budget'!$A69</f>
        <v>Other: Bond Counsel &amp; Borrower Attorney</v>
      </c>
      <c r="B69" s="393">
        <f>'Sources and Uses Budget'!C69</f>
        <v>295000</v>
      </c>
      <c r="C69" s="394"/>
      <c r="D69" s="394"/>
      <c r="E69" s="393">
        <f>'Sources and Uses Budget'!S69</f>
        <v>95000</v>
      </c>
      <c r="F69" s="394"/>
      <c r="G69" s="394"/>
      <c r="H69" s="393">
        <f>'Sources and Uses Budget'!T69</f>
        <v>0</v>
      </c>
      <c r="I69" s="394"/>
      <c r="J69" s="394"/>
      <c r="K69" s="391"/>
    </row>
    <row r="70" spans="1:11" s="392" customFormat="1">
      <c r="A70" s="397" t="s">
        <v>611</v>
      </c>
      <c r="B70" s="393">
        <f>'Sources and Uses Budget'!C70</f>
        <v>420000</v>
      </c>
      <c r="C70" s="393">
        <f>SUM(C64:C69)</f>
        <v>0</v>
      </c>
      <c r="D70" s="393">
        <f>SUM(D64:D69)</f>
        <v>0</v>
      </c>
      <c r="E70" s="393">
        <f>'Sources and Uses Budget'!S70</f>
        <v>132500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615</v>
      </c>
      <c r="B75" s="393">
        <f>'Sources and Uses Budget'!C75</f>
        <v>192865</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192865</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1363698</v>
      </c>
      <c r="C79" s="394"/>
      <c r="D79" s="394"/>
      <c r="E79" s="393">
        <f>'Sources and Uses Budget'!S79</f>
        <v>700000</v>
      </c>
      <c r="F79" s="394"/>
      <c r="G79" s="394"/>
      <c r="H79" s="393">
        <f>'Sources and Uses Budget'!T79</f>
        <v>0</v>
      </c>
      <c r="I79" s="394"/>
      <c r="J79" s="394"/>
      <c r="K79" s="391"/>
    </row>
    <row r="80" spans="1:11" s="392" customFormat="1">
      <c r="A80" s="396" t="s">
        <v>58</v>
      </c>
      <c r="B80" s="393">
        <f>'Sources and Uses Budget'!C80</f>
        <v>100000</v>
      </c>
      <c r="C80" s="394"/>
      <c r="D80" s="394"/>
      <c r="E80" s="393">
        <f>'Sources and Uses Budget'!S80</f>
        <v>37500</v>
      </c>
      <c r="F80" s="394"/>
      <c r="G80" s="394"/>
      <c r="H80" s="393">
        <f>'Sources and Uses Budget'!T80</f>
        <v>0</v>
      </c>
      <c r="I80" s="394"/>
      <c r="J80" s="394"/>
      <c r="K80" s="391"/>
    </row>
    <row r="81" spans="1:11" s="392" customFormat="1">
      <c r="A81" s="397" t="s">
        <v>1352</v>
      </c>
      <c r="B81" s="393">
        <f>'Sources and Uses Budget'!C81</f>
        <v>1463698</v>
      </c>
      <c r="C81" s="393">
        <f>SUM(C79:C80)</f>
        <v>0</v>
      </c>
      <c r="D81" s="393">
        <f>SUM(D79:D80)</f>
        <v>0</v>
      </c>
      <c r="E81" s="393">
        <f>'Sources and Uses Budget'!S81</f>
        <v>737500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2515</v>
      </c>
      <c r="B83" s="393">
        <f>'Sources and Uses Budget'!C83</f>
        <v>59764</v>
      </c>
      <c r="C83" s="394"/>
      <c r="D83" s="394"/>
      <c r="E83" s="395"/>
      <c r="F83" s="395"/>
      <c r="G83" s="395"/>
      <c r="H83" s="395"/>
      <c r="I83" s="395"/>
      <c r="J83" s="395"/>
      <c r="K83" s="391"/>
    </row>
    <row r="84" spans="1:11" s="392" customFormat="1">
      <c r="A84" s="145" t="s">
        <v>792</v>
      </c>
      <c r="B84" s="393">
        <f>'Sources and Uses Budget'!C84</f>
        <v>149035</v>
      </c>
      <c r="C84" s="394"/>
      <c r="D84" s="394"/>
      <c r="E84" s="393">
        <f>'Sources and Uses Budget'!S84</f>
        <v>149035</v>
      </c>
      <c r="F84" s="394"/>
      <c r="G84" s="394"/>
      <c r="H84" s="393">
        <f>'Sources and Uses Budget'!T84</f>
        <v>0</v>
      </c>
      <c r="I84" s="394"/>
      <c r="J84" s="394"/>
      <c r="K84" s="391"/>
    </row>
    <row r="85" spans="1:11" s="392" customFormat="1">
      <c r="A85" s="145" t="s">
        <v>793</v>
      </c>
      <c r="B85" s="393">
        <f>'Sources and Uses Budget'!C85</f>
        <v>1474224</v>
      </c>
      <c r="C85" s="394"/>
      <c r="D85" s="394"/>
      <c r="E85" s="393">
        <f>'Sources and Uses Budget'!S85</f>
        <v>1474224</v>
      </c>
      <c r="F85" s="394"/>
      <c r="G85" s="394"/>
      <c r="H85" s="393">
        <f>'Sources and Uses Budget'!T85</f>
        <v>0</v>
      </c>
      <c r="I85" s="394"/>
      <c r="J85" s="394"/>
      <c r="K85" s="391"/>
    </row>
    <row r="86" spans="1:11" s="392" customFormat="1">
      <c r="A86" s="145" t="s">
        <v>794</v>
      </c>
      <c r="B86" s="393">
        <f>'Sources and Uses Budget'!C86</f>
        <v>425776</v>
      </c>
      <c r="C86" s="394"/>
      <c r="D86" s="394"/>
      <c r="E86" s="393">
        <f>'Sources and Uses Budget'!S86</f>
        <v>425776</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120000</v>
      </c>
      <c r="C88" s="394"/>
      <c r="D88" s="394"/>
      <c r="E88" s="395"/>
      <c r="F88" s="395"/>
      <c r="G88" s="395"/>
      <c r="H88" s="395"/>
      <c r="I88" s="395"/>
      <c r="J88" s="395"/>
      <c r="K88" s="391"/>
    </row>
    <row r="89" spans="1:11" s="392" customFormat="1">
      <c r="A89" s="145" t="s">
        <v>797</v>
      </c>
      <c r="B89" s="393">
        <f>'Sources and Uses Budget'!C89</f>
        <v>150000</v>
      </c>
      <c r="C89" s="394"/>
      <c r="D89" s="394"/>
      <c r="E89" s="393">
        <f>'Sources and Uses Budget'!S89</f>
        <v>150000</v>
      </c>
      <c r="F89" s="394"/>
      <c r="G89" s="394"/>
      <c r="H89" s="393">
        <f>'Sources and Uses Budget'!T89</f>
        <v>0</v>
      </c>
      <c r="I89" s="394"/>
      <c r="J89" s="394"/>
      <c r="K89" s="391"/>
    </row>
    <row r="90" spans="1:11" s="392" customFormat="1">
      <c r="A90" s="145" t="s">
        <v>798</v>
      </c>
      <c r="B90" s="393">
        <f>'Sources and Uses Budget'!C90</f>
        <v>6200</v>
      </c>
      <c r="C90" s="394"/>
      <c r="D90" s="394"/>
      <c r="E90" s="393">
        <f>'Sources and Uses Budget'!S90</f>
        <v>6200</v>
      </c>
      <c r="F90" s="394"/>
      <c r="G90" s="394"/>
      <c r="H90" s="393">
        <f>'Sources and Uses Budget'!T90</f>
        <v>0</v>
      </c>
      <c r="I90" s="394"/>
      <c r="J90" s="394"/>
      <c r="K90" s="391"/>
    </row>
    <row r="91" spans="1:11" s="392" customFormat="1">
      <c r="A91" s="155" t="s">
        <v>374</v>
      </c>
      <c r="B91" s="393">
        <f>'Sources and Uses Budget'!C91</f>
        <v>50500</v>
      </c>
      <c r="C91" s="394"/>
      <c r="D91" s="394"/>
      <c r="E91" s="393">
        <f>'Sources and Uses Budget'!S91</f>
        <v>15000</v>
      </c>
      <c r="F91" s="394"/>
      <c r="G91" s="394"/>
      <c r="H91" s="393">
        <f>'Sources and Uses Budget'!T91</f>
        <v>0</v>
      </c>
      <c r="I91" s="394"/>
      <c r="J91" s="394"/>
      <c r="K91" s="391"/>
    </row>
    <row r="92" spans="1:11" s="392" customFormat="1">
      <c r="A92" s="543" t="s">
        <v>1354</v>
      </c>
      <c r="B92" s="393">
        <f>'Sources and Uses Budget'!C92</f>
        <v>3000</v>
      </c>
      <c r="C92" s="394"/>
      <c r="D92" s="394"/>
      <c r="E92" s="393">
        <f>'Sources and Uses Budget'!S92</f>
        <v>3000</v>
      </c>
      <c r="F92" s="394"/>
      <c r="G92" s="394"/>
      <c r="H92" s="393">
        <f>'Sources and Uses Budget'!T92</f>
        <v>0</v>
      </c>
      <c r="I92" s="394"/>
      <c r="J92" s="394"/>
      <c r="K92" s="391"/>
    </row>
    <row r="93" spans="1:11" s="392" customFormat="1">
      <c r="A93" s="396" t="str">
        <f>'Sources and Uses Budget'!$A93</f>
        <v>Other: Security During Construction</v>
      </c>
      <c r="B93" s="393">
        <f>'Sources and Uses Budget'!C93</f>
        <v>125000</v>
      </c>
      <c r="C93" s="394"/>
      <c r="D93" s="394"/>
      <c r="E93" s="393">
        <f>'Sources and Uses Budget'!S93</f>
        <v>125000</v>
      </c>
      <c r="F93" s="394"/>
      <c r="G93" s="394"/>
      <c r="H93" s="393">
        <f>'Sources and Uses Budget'!T93</f>
        <v>0</v>
      </c>
      <c r="I93" s="394"/>
      <c r="J93" s="394"/>
      <c r="K93" s="391"/>
    </row>
    <row r="94" spans="1:11" s="392" customFormat="1">
      <c r="A94" s="396" t="str">
        <f>'Sources and Uses Budget'!$A94</f>
        <v>Other: CUAC</v>
      </c>
      <c r="B94" s="393">
        <f>'Sources and Uses Budget'!C94</f>
        <v>20000</v>
      </c>
      <c r="C94" s="394"/>
      <c r="D94" s="394"/>
      <c r="E94" s="393">
        <f>'Sources and Uses Budget'!S94</f>
        <v>20000</v>
      </c>
      <c r="F94" s="394"/>
      <c r="G94" s="394"/>
      <c r="H94" s="393">
        <f>'Sources and Uses Budget'!T94</f>
        <v>0</v>
      </c>
      <c r="I94" s="394"/>
      <c r="J94" s="394"/>
      <c r="K94" s="391"/>
    </row>
    <row r="95" spans="1:11" s="392" customFormat="1">
      <c r="A95" s="396" t="str">
        <f>'Sources and Uses Budget'!$A95</f>
        <v>Other: PW Consultants &amp; Inspections</v>
      </c>
      <c r="B95" s="393">
        <f>'Sources and Uses Budget'!C95</f>
        <v>265000</v>
      </c>
      <c r="C95" s="394"/>
      <c r="D95" s="394"/>
      <c r="E95" s="393">
        <f>'Sources and Uses Budget'!S95</f>
        <v>265000</v>
      </c>
      <c r="F95" s="394"/>
      <c r="G95" s="394"/>
      <c r="H95" s="393">
        <f>'Sources and Uses Budget'!T95</f>
        <v>0</v>
      </c>
      <c r="I95" s="394"/>
      <c r="J95" s="394"/>
      <c r="K95" s="391"/>
    </row>
    <row r="96" spans="1:11" s="392" customFormat="1">
      <c r="A96" s="397" t="s">
        <v>799</v>
      </c>
      <c r="B96" s="393">
        <f>'Sources and Uses Budget'!C96</f>
        <v>2848499</v>
      </c>
      <c r="C96" s="393">
        <f>SUM(C83:C95)</f>
        <v>0</v>
      </c>
      <c r="D96" s="393">
        <f>SUM(D83:D95)</f>
        <v>0</v>
      </c>
      <c r="E96" s="393">
        <f>'Sources and Uses Budget'!S96</f>
        <v>2633235</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41036817</v>
      </c>
      <c r="C97" s="393">
        <f>SUM(C63+C70+C77+C81+C96)</f>
        <v>0</v>
      </c>
      <c r="D97" s="393">
        <f>SUM(D63+D70+D77+D81+D96)</f>
        <v>0</v>
      </c>
      <c r="E97" s="393">
        <f>'Sources and Uses Budget'!S97</f>
        <v>34449473</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3000000</v>
      </c>
      <c r="C99" s="394"/>
      <c r="D99" s="394"/>
      <c r="E99" s="393">
        <f>'Sources and Uses Budget'!S99</f>
        <v>3000000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3000000</v>
      </c>
      <c r="C104" s="393">
        <f>SUM(C99:C103)</f>
        <v>0</v>
      </c>
      <c r="D104" s="393">
        <f>SUM(D99:D103)</f>
        <v>0</v>
      </c>
      <c r="E104" s="393">
        <f>'Sources and Uses Budget'!S104</f>
        <v>3000000</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44036817</v>
      </c>
      <c r="C105" s="399">
        <f>SUM(C97+C104)</f>
        <v>0</v>
      </c>
      <c r="D105" s="399">
        <f>SUM(D97+D104)</f>
        <v>0</v>
      </c>
      <c r="E105" s="393">
        <f>'Sources and Uses Budget'!S105</f>
        <v>37449473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37449473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80"/>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81"/>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K327" sqref="AK327:AM3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9" t="s">
        <v>1473</v>
      </c>
      <c r="B1" s="2109"/>
      <c r="C1" s="2109"/>
      <c r="D1" s="2109"/>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row>
    <row r="2" spans="1:42" s="571" customFormat="1" ht="12.75" customHeight="1" thickBot="1">
      <c r="A2" s="2110"/>
      <c r="B2" s="2110"/>
      <c r="C2" s="2110"/>
      <c r="D2" s="2110"/>
      <c r="E2" s="2110"/>
      <c r="F2" s="2110"/>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5" t="s">
        <v>1478</v>
      </c>
      <c r="AF7" s="1925"/>
      <c r="AG7" s="1925"/>
      <c r="AH7" s="1925"/>
      <c r="AI7" s="1925"/>
      <c r="AJ7" s="1925"/>
      <c r="AK7" s="1925"/>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03" t="s">
        <v>601</v>
      </c>
      <c r="C13" s="2103"/>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11"/>
      <c r="AH13" s="2111"/>
      <c r="AI13" s="2111"/>
      <c r="AJ13" s="211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03" t="s">
        <v>601</v>
      </c>
      <c r="C16" s="2103"/>
      <c r="D16" s="582"/>
      <c r="E16" s="2095" t="s">
        <v>1480</v>
      </c>
      <c r="F16" s="2096"/>
      <c r="G16" s="2096"/>
      <c r="H16" s="2096"/>
      <c r="I16" s="2096"/>
      <c r="J16" s="2096"/>
      <c r="K16" s="2096"/>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7"/>
      <c r="AK16" s="575"/>
      <c r="AL16" s="575"/>
      <c r="AM16" s="575"/>
      <c r="AN16" s="570"/>
      <c r="AO16" s="585">
        <f>IF($B25="yes",20,0)</f>
        <v>0</v>
      </c>
      <c r="AP16" s="14"/>
    </row>
    <row r="17" spans="1:42" s="571" customFormat="1" ht="12.75" customHeight="1">
      <c r="A17" s="575"/>
      <c r="B17" s="575"/>
      <c r="C17" s="575"/>
      <c r="D17" s="586"/>
      <c r="E17" s="2098"/>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100"/>
      <c r="AK17" s="575"/>
      <c r="AL17" s="575"/>
      <c r="AM17" s="575"/>
      <c r="AN17" s="570"/>
      <c r="AO17" s="571">
        <f>IF(SUM(AO13:AO16)&gt;20,20,(SUM(AO13:AO16)))</f>
        <v>0</v>
      </c>
      <c r="AP17" s="571" t="s">
        <v>1481</v>
      </c>
    </row>
    <row r="18" spans="1:42" s="571" customFormat="1" ht="12.75" customHeight="1">
      <c r="A18" s="575"/>
      <c r="B18" s="575"/>
      <c r="C18" s="575"/>
      <c r="D18" s="586"/>
      <c r="E18" s="2098"/>
      <c r="F18" s="2099"/>
      <c r="G18" s="2099"/>
      <c r="H18" s="2099"/>
      <c r="I18" s="2099"/>
      <c r="J18" s="2099"/>
      <c r="K18" s="2099"/>
      <c r="L18" s="2099"/>
      <c r="M18" s="2099"/>
      <c r="N18" s="2099"/>
      <c r="O18" s="2099"/>
      <c r="P18" s="2099"/>
      <c r="Q18" s="2099"/>
      <c r="R18" s="2099"/>
      <c r="S18" s="2099"/>
      <c r="T18" s="2099"/>
      <c r="U18" s="2099"/>
      <c r="V18" s="2099"/>
      <c r="W18" s="2099"/>
      <c r="X18" s="2099"/>
      <c r="Y18" s="2099"/>
      <c r="Z18" s="2099"/>
      <c r="AA18" s="2099"/>
      <c r="AB18" s="2099"/>
      <c r="AC18" s="2099"/>
      <c r="AD18" s="2099"/>
      <c r="AE18" s="2099"/>
      <c r="AF18" s="2099"/>
      <c r="AG18" s="2099"/>
      <c r="AH18" s="2099"/>
      <c r="AI18" s="2099"/>
      <c r="AJ18" s="2100"/>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9"/>
      <c r="F20" s="2120"/>
      <c r="G20" s="2120"/>
      <c r="H20" s="2120"/>
      <c r="I20" s="2120"/>
      <c r="J20" s="2120"/>
      <c r="K20" s="2120"/>
      <c r="L20" s="2120"/>
      <c r="M20" s="2120"/>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03" t="s">
        <v>601</v>
      </c>
      <c r="C22" s="2103"/>
      <c r="D22" s="582"/>
      <c r="E22" s="2113" t="s">
        <v>1483</v>
      </c>
      <c r="F22" s="2114"/>
      <c r="G22" s="2114"/>
      <c r="H22" s="2114"/>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5"/>
      <c r="AK22" s="575"/>
      <c r="AL22" s="575"/>
      <c r="AM22" s="575"/>
      <c r="AN22" s="570"/>
      <c r="AO22" s="571">
        <f>IF(SUM(AO20:AO21)&gt;14,14,SUM(AO20:AO21))</f>
        <v>0</v>
      </c>
      <c r="AP22" s="571" t="s">
        <v>1481</v>
      </c>
    </row>
    <row r="23" spans="1:42" s="571" customFormat="1" ht="12.75" customHeight="1">
      <c r="A23" s="575"/>
      <c r="B23" s="575"/>
      <c r="C23" s="575"/>
      <c r="D23" s="585"/>
      <c r="E23" s="2116"/>
      <c r="F23" s="2117"/>
      <c r="G23" s="2117"/>
      <c r="H23" s="2117"/>
      <c r="I23" s="2117"/>
      <c r="J23" s="2117"/>
      <c r="K23" s="2117"/>
      <c r="L23" s="211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03" t="s">
        <v>601</v>
      </c>
      <c r="C25" s="2103"/>
      <c r="D25" s="582"/>
      <c r="E25" s="2031" t="s">
        <v>2432</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5"/>
      <c r="AL25" s="575"/>
      <c r="AM25" s="575"/>
      <c r="AN25" s="570"/>
      <c r="AO25" s="571">
        <f>IF(AO24&gt;6,6,AO24)</f>
        <v>0</v>
      </c>
      <c r="AP25" s="571" t="s">
        <v>1481</v>
      </c>
    </row>
    <row r="26" spans="1:42" s="571" customFormat="1" ht="12.75" customHeight="1">
      <c r="A26" s="575"/>
      <c r="B26" s="575"/>
      <c r="C26" s="575"/>
      <c r="D26" s="585"/>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103" t="s">
        <v>601</v>
      </c>
      <c r="C30" s="2103"/>
      <c r="D30" s="582"/>
      <c r="E30" s="2113" t="s">
        <v>2404</v>
      </c>
      <c r="F30" s="2114"/>
      <c r="G30" s="2114"/>
      <c r="H30" s="2114"/>
      <c r="I30" s="2114"/>
      <c r="J30" s="2114"/>
      <c r="K30" s="2114"/>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5"/>
      <c r="AK30" s="575"/>
      <c r="AL30" s="575"/>
      <c r="AM30" s="575"/>
      <c r="AN30" s="570"/>
      <c r="AO30" s="585"/>
    </row>
    <row r="31" spans="1:42" s="571" customFormat="1" ht="12.75" customHeight="1">
      <c r="A31" s="575"/>
      <c r="B31" s="575"/>
      <c r="C31" s="575"/>
      <c r="E31" s="2116"/>
      <c r="F31" s="2117"/>
      <c r="G31" s="2117"/>
      <c r="H31" s="2117"/>
      <c r="I31" s="2117"/>
      <c r="J31" s="2117"/>
      <c r="K31" s="2117"/>
      <c r="L31" s="211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03" t="s">
        <v>601</v>
      </c>
      <c r="C33" s="2103"/>
      <c r="D33" s="582"/>
      <c r="E33" s="2031" t="s">
        <v>2405</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5"/>
      <c r="AL33" s="575"/>
      <c r="AM33" s="575"/>
      <c r="AN33" s="570"/>
    </row>
    <row r="34" spans="1:41" s="571" customFormat="1" ht="12.75" customHeight="1">
      <c r="A34" s="575"/>
      <c r="B34" s="575"/>
      <c r="C34" s="575"/>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5"/>
      <c r="AL34" s="575"/>
      <c r="AM34" s="575"/>
      <c r="AN34" s="570"/>
    </row>
    <row r="35" spans="1:41" s="571" customFormat="1" ht="12.75" customHeight="1">
      <c r="A35" s="575"/>
      <c r="B35" s="575"/>
      <c r="C35" s="575"/>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03" t="s">
        <v>601</v>
      </c>
      <c r="C39" s="2103"/>
      <c r="D39" s="1195"/>
      <c r="E39" s="2031" t="s">
        <v>2406</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95"/>
      <c r="AL39" s="575"/>
      <c r="AM39" s="575"/>
      <c r="AN39" s="570"/>
    </row>
    <row r="40" spans="1:41" s="571" customFormat="1" ht="12.75" customHeight="1">
      <c r="A40" s="575"/>
      <c r="B40" s="575"/>
      <c r="C40" s="575"/>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5"/>
      <c r="AL40" s="575"/>
      <c r="AM40" s="575"/>
      <c r="AN40" s="570"/>
    </row>
    <row r="41" spans="1:41" s="571" customFormat="1" ht="12.75" customHeight="1">
      <c r="A41" s="575"/>
      <c r="D41" s="582"/>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03" t="s">
        <v>601</v>
      </c>
      <c r="C46" s="2103"/>
      <c r="D46" s="575"/>
      <c r="E46" s="2031" t="s">
        <v>2411</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5"/>
      <c r="AL46" s="575"/>
      <c r="AM46" s="575"/>
      <c r="AN46" s="570"/>
      <c r="AO46" s="594"/>
    </row>
    <row r="47" spans="1:41" s="571" customFormat="1" ht="12.75" customHeight="1">
      <c r="A47" s="575"/>
      <c r="D47" s="582"/>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5"/>
      <c r="AL47" s="575"/>
      <c r="AM47" s="575"/>
      <c r="AN47" s="570"/>
      <c r="AO47" s="594"/>
    </row>
    <row r="48" spans="1:41" s="571" customFormat="1" ht="12.75" customHeight="1">
      <c r="A48" s="575"/>
      <c r="D48" s="575"/>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03" t="s">
        <v>601</v>
      </c>
      <c r="C50" s="2103"/>
      <c r="D50" s="575"/>
      <c r="E50" s="2129" t="s">
        <v>2412</v>
      </c>
      <c r="F50" s="2130"/>
      <c r="G50" s="2130"/>
      <c r="H50" s="2130"/>
      <c r="I50" s="2130"/>
      <c r="J50" s="2130"/>
      <c r="K50" s="2130"/>
      <c r="L50" s="213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03" t="s">
        <v>601</v>
      </c>
      <c r="C52" s="2103"/>
      <c r="D52" s="575"/>
      <c r="E52" s="2031" t="s">
        <v>2413</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5"/>
      <c r="AL52" s="575"/>
      <c r="AM52" s="575"/>
      <c r="AN52" s="570"/>
    </row>
    <row r="53" spans="1:50" s="571" customFormat="1" ht="12.75" customHeight="1">
      <c r="A53" s="575"/>
      <c r="B53" s="582"/>
      <c r="C53" s="582"/>
      <c r="D53" s="582"/>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77">
        <f>AO36</f>
        <v>0</v>
      </c>
      <c r="AL56" s="2078"/>
      <c r="AM56" s="207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5" t="s">
        <v>1487</v>
      </c>
      <c r="AF59" s="1925"/>
      <c r="AG59" s="1925"/>
      <c r="AH59" s="1925"/>
      <c r="AI59" s="1925"/>
      <c r="AJ59" s="1925"/>
      <c r="AK59" s="1925"/>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03" t="s">
        <v>555</v>
      </c>
      <c r="C62" s="2103"/>
      <c r="D62" s="582" t="s">
        <v>1488</v>
      </c>
      <c r="E62" s="2095" t="s">
        <v>2414</v>
      </c>
      <c r="F62" s="2096"/>
      <c r="G62" s="2096"/>
      <c r="H62" s="2096"/>
      <c r="I62" s="2096"/>
      <c r="J62" s="2096"/>
      <c r="K62" s="2096"/>
      <c r="L62" s="2096"/>
      <c r="M62" s="2096"/>
      <c r="N62" s="2096"/>
      <c r="O62" s="2096"/>
      <c r="P62" s="2096"/>
      <c r="Q62" s="2096"/>
      <c r="R62" s="2096"/>
      <c r="S62" s="2096"/>
      <c r="T62" s="2096"/>
      <c r="U62" s="2096"/>
      <c r="V62" s="2096"/>
      <c r="W62" s="2096"/>
      <c r="X62" s="2096"/>
      <c r="Y62" s="2096"/>
      <c r="Z62" s="2096"/>
      <c r="AA62" s="2096"/>
      <c r="AB62" s="2096"/>
      <c r="AC62" s="2096"/>
      <c r="AD62" s="2096"/>
      <c r="AE62" s="2096"/>
      <c r="AF62" s="2096"/>
      <c r="AG62" s="2096"/>
      <c r="AH62" s="2096"/>
      <c r="AI62" s="2096"/>
      <c r="AJ62" s="2097"/>
      <c r="AK62" s="578"/>
      <c r="AL62" s="575"/>
      <c r="AM62" s="575"/>
      <c r="AN62" s="570"/>
      <c r="AO62" s="585">
        <f>IF($B62="yes",10,0)</f>
        <v>10</v>
      </c>
    </row>
    <row r="63" spans="1:50" s="571" customFormat="1" ht="12.75" customHeight="1">
      <c r="A63" s="573"/>
      <c r="B63" s="575"/>
      <c r="C63" s="575"/>
      <c r="D63" s="586"/>
      <c r="E63" s="2098"/>
      <c r="F63" s="2099"/>
      <c r="G63" s="2099"/>
      <c r="H63" s="2099"/>
      <c r="I63" s="2099"/>
      <c r="J63" s="2099"/>
      <c r="K63" s="2099"/>
      <c r="L63" s="2099"/>
      <c r="M63" s="2099"/>
      <c r="N63" s="2099"/>
      <c r="O63" s="2099"/>
      <c r="P63" s="2099"/>
      <c r="Q63" s="2099"/>
      <c r="R63" s="2099"/>
      <c r="S63" s="2099"/>
      <c r="T63" s="2099"/>
      <c r="U63" s="2099"/>
      <c r="V63" s="2099"/>
      <c r="W63" s="2099"/>
      <c r="X63" s="2099"/>
      <c r="Y63" s="2099"/>
      <c r="Z63" s="2099"/>
      <c r="AA63" s="2099"/>
      <c r="AB63" s="2099"/>
      <c r="AC63" s="2099"/>
      <c r="AD63" s="2099"/>
      <c r="AE63" s="2099"/>
      <c r="AF63" s="2099"/>
      <c r="AG63" s="2099"/>
      <c r="AH63" s="2099"/>
      <c r="AI63" s="2099"/>
      <c r="AJ63" s="2100"/>
      <c r="AK63" s="578"/>
      <c r="AL63" s="575"/>
      <c r="AM63" s="575"/>
      <c r="AN63" s="570"/>
      <c r="AO63" s="585">
        <f>IF($B68="yes",10,0)</f>
        <v>0</v>
      </c>
    </row>
    <row r="64" spans="1:50" s="571" customFormat="1" ht="12.75" customHeight="1">
      <c r="A64" s="573"/>
      <c r="B64" s="575"/>
      <c r="C64" s="575"/>
      <c r="D64" s="586"/>
      <c r="E64" s="2098"/>
      <c r="F64" s="2099"/>
      <c r="G64" s="2099"/>
      <c r="H64" s="2099"/>
      <c r="I64" s="2099"/>
      <c r="J64" s="2099"/>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100"/>
      <c r="AK64" s="578"/>
      <c r="AL64" s="575"/>
      <c r="AM64" s="575"/>
      <c r="AN64" s="570"/>
      <c r="AO64" s="585">
        <f>IF($B75="yes",10,0)</f>
        <v>0</v>
      </c>
    </row>
    <row r="65" spans="1:42" s="571" customFormat="1" ht="12.75" customHeight="1">
      <c r="A65" s="573"/>
      <c r="B65" s="575"/>
      <c r="C65" s="575"/>
      <c r="D65" s="586"/>
      <c r="E65" s="2098"/>
      <c r="F65" s="2099"/>
      <c r="G65" s="2099"/>
      <c r="H65" s="2099"/>
      <c r="I65" s="2099"/>
      <c r="J65" s="2099"/>
      <c r="K65" s="2099"/>
      <c r="L65" s="2099"/>
      <c r="M65" s="2099"/>
      <c r="N65" s="2099"/>
      <c r="O65" s="2099"/>
      <c r="P65" s="2099"/>
      <c r="Q65" s="2099"/>
      <c r="R65" s="2099"/>
      <c r="S65" s="2099"/>
      <c r="T65" s="2099"/>
      <c r="U65" s="2099"/>
      <c r="V65" s="2099"/>
      <c r="W65" s="2099"/>
      <c r="X65" s="2099"/>
      <c r="Y65" s="2099"/>
      <c r="Z65" s="2099"/>
      <c r="AA65" s="2099"/>
      <c r="AB65" s="2099"/>
      <c r="AC65" s="2099"/>
      <c r="AD65" s="2099"/>
      <c r="AE65" s="2099"/>
      <c r="AF65" s="2099"/>
      <c r="AG65" s="2099"/>
      <c r="AH65" s="2099"/>
      <c r="AI65" s="2099"/>
      <c r="AJ65" s="2100"/>
      <c r="AK65" s="578"/>
      <c r="AL65" s="575"/>
      <c r="AM65" s="575"/>
      <c r="AN65" s="570"/>
      <c r="AO65" s="571">
        <f>IF(SUM(AO62:AO64)&gt;10,10,(SUM(AO62:AO64)))</f>
        <v>10</v>
      </c>
      <c r="AP65" s="609" t="s">
        <v>1489</v>
      </c>
    </row>
    <row r="66" spans="1:42" s="571" customFormat="1" ht="12.75" customHeight="1">
      <c r="A66" s="573"/>
      <c r="B66" s="575"/>
      <c r="C66" s="575"/>
      <c r="D66" s="586"/>
      <c r="E66" s="2125"/>
      <c r="F66" s="2126"/>
      <c r="G66" s="2126"/>
      <c r="H66" s="2126"/>
      <c r="I66" s="2126"/>
      <c r="J66" s="2126"/>
      <c r="K66" s="2126"/>
      <c r="L66" s="2126"/>
      <c r="M66" s="2126"/>
      <c r="N66" s="2126"/>
      <c r="O66" s="2126"/>
      <c r="P66" s="2126"/>
      <c r="Q66" s="2126"/>
      <c r="R66" s="2126"/>
      <c r="S66" s="2126"/>
      <c r="T66" s="2126"/>
      <c r="U66" s="2126"/>
      <c r="V66" s="2126"/>
      <c r="W66" s="2126"/>
      <c r="X66" s="2126"/>
      <c r="Y66" s="2126"/>
      <c r="Z66" s="2126"/>
      <c r="AA66" s="2126"/>
      <c r="AB66" s="2126"/>
      <c r="AC66" s="2126"/>
      <c r="AD66" s="2126"/>
      <c r="AE66" s="2126"/>
      <c r="AF66" s="2126"/>
      <c r="AG66" s="2126"/>
      <c r="AH66" s="2126"/>
      <c r="AI66" s="2126"/>
      <c r="AJ66" s="212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03" t="s">
        <v>601</v>
      </c>
      <c r="C68" s="2103"/>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8" t="s">
        <v>601</v>
      </c>
      <c r="F69" s="2103"/>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23" t="s">
        <v>601</v>
      </c>
      <c r="F70" s="2124"/>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23" t="s">
        <v>601</v>
      </c>
      <c r="F71" s="2124"/>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8" t="s">
        <v>601</v>
      </c>
      <c r="F73" s="2103"/>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03" t="s">
        <v>601</v>
      </c>
      <c r="C75" s="2103"/>
      <c r="D75" s="582" t="s">
        <v>1493</v>
      </c>
      <c r="E75" s="2031" t="s">
        <v>2001</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8"/>
      <c r="AL75" s="575"/>
      <c r="AM75" s="575"/>
      <c r="AN75" s="570"/>
    </row>
    <row r="76" spans="1:42" s="571" customFormat="1" ht="12.75" customHeight="1">
      <c r="A76" s="573"/>
      <c r="B76" s="575"/>
      <c r="C76" s="575"/>
      <c r="D76" s="585"/>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77">
        <f>IF(AK56&gt;0,0,AO65)</f>
        <v>10</v>
      </c>
      <c r="AL78" s="2078"/>
      <c r="AM78" s="207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5" t="s">
        <v>1478</v>
      </c>
      <c r="AF81" s="1925"/>
      <c r="AG81" s="1925"/>
      <c r="AH81" s="1925"/>
      <c r="AI81" s="1925"/>
      <c r="AJ81" s="1925"/>
      <c r="AK81" s="1925"/>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03" t="s">
        <v>555</v>
      </c>
      <c r="C84" s="2103"/>
      <c r="D84" s="582" t="s">
        <v>1488</v>
      </c>
      <c r="E84" s="2095" t="s">
        <v>1498</v>
      </c>
      <c r="F84" s="2096"/>
      <c r="G84" s="2096"/>
      <c r="H84" s="2096"/>
      <c r="I84" s="2096"/>
      <c r="J84" s="2096"/>
      <c r="K84" s="2096"/>
      <c r="L84" s="2096"/>
      <c r="M84" s="2096"/>
      <c r="N84" s="2096"/>
      <c r="O84" s="2096"/>
      <c r="P84" s="2096"/>
      <c r="Q84" s="2096"/>
      <c r="R84" s="2096"/>
      <c r="S84" s="2096"/>
      <c r="T84" s="2096"/>
      <c r="U84" s="2096"/>
      <c r="V84" s="2096"/>
      <c r="W84" s="2096"/>
      <c r="X84" s="2096"/>
      <c r="Y84" s="2096"/>
      <c r="Z84" s="2096"/>
      <c r="AA84" s="2096"/>
      <c r="AB84" s="2096"/>
      <c r="AC84" s="2096"/>
      <c r="AD84" s="2096"/>
      <c r="AE84" s="2096"/>
      <c r="AF84" s="2096"/>
      <c r="AG84" s="2096"/>
      <c r="AH84" s="2096"/>
      <c r="AI84" s="2096"/>
      <c r="AJ84" s="2097"/>
      <c r="AK84" s="578"/>
      <c r="AL84" s="575"/>
      <c r="AM84" s="575"/>
      <c r="AN84" s="570"/>
    </row>
    <row r="85" spans="1:43" s="571" customFormat="1" ht="12.75" customHeight="1">
      <c r="A85" s="573"/>
      <c r="B85" s="574"/>
      <c r="C85" s="574"/>
      <c r="D85" s="574"/>
      <c r="E85" s="2098"/>
      <c r="F85" s="2099"/>
      <c r="G85" s="2099"/>
      <c r="H85" s="2099"/>
      <c r="I85" s="2099"/>
      <c r="J85" s="2099"/>
      <c r="K85" s="2099"/>
      <c r="L85" s="2099"/>
      <c r="M85" s="2099"/>
      <c r="N85" s="2099"/>
      <c r="O85" s="2099"/>
      <c r="P85" s="2099"/>
      <c r="Q85" s="2099"/>
      <c r="R85" s="2099"/>
      <c r="S85" s="2099"/>
      <c r="T85" s="2099"/>
      <c r="U85" s="2099"/>
      <c r="V85" s="2099"/>
      <c r="W85" s="2099"/>
      <c r="X85" s="2099"/>
      <c r="Y85" s="2099"/>
      <c r="Z85" s="2099"/>
      <c r="AA85" s="2099"/>
      <c r="AB85" s="2099"/>
      <c r="AC85" s="2099"/>
      <c r="AD85" s="2099"/>
      <c r="AE85" s="2099"/>
      <c r="AF85" s="2099"/>
      <c r="AG85" s="2099"/>
      <c r="AH85" s="2099"/>
      <c r="AI85" s="2099"/>
      <c r="AJ85" s="210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91">
        <f>Application!AC739</f>
        <v>0.45942028985507244</v>
      </c>
      <c r="F87" s="2092"/>
      <c r="G87" s="2092"/>
      <c r="H87" s="2092"/>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22">
        <f>0.6-ROUNDUP(E87,2)</f>
        <v>0.13999999999999996</v>
      </c>
      <c r="F88" s="1899"/>
      <c r="G88" s="1899"/>
      <c r="H88" s="1899"/>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7">
        <f>IF(E88*200&gt;20,20,E88*200)</f>
        <v>20</v>
      </c>
      <c r="F89" s="2108"/>
      <c r="G89" s="2108"/>
      <c r="H89" s="2108"/>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03" t="s">
        <v>601</v>
      </c>
      <c r="C92" s="2103"/>
      <c r="D92" s="582" t="s">
        <v>1490</v>
      </c>
      <c r="E92" s="2095" t="s">
        <v>1986</v>
      </c>
      <c r="F92" s="2096"/>
      <c r="G92" s="2096"/>
      <c r="H92" s="2096"/>
      <c r="I92" s="2096"/>
      <c r="J92" s="2096"/>
      <c r="K92" s="2096"/>
      <c r="L92" s="2096"/>
      <c r="M92" s="2096"/>
      <c r="N92" s="2096"/>
      <c r="O92" s="2096"/>
      <c r="P92" s="2096"/>
      <c r="Q92" s="2096"/>
      <c r="R92" s="2096"/>
      <c r="S92" s="2096"/>
      <c r="T92" s="2096"/>
      <c r="U92" s="2096"/>
      <c r="V92" s="2096"/>
      <c r="W92" s="2096"/>
      <c r="X92" s="2096"/>
      <c r="Y92" s="2096"/>
      <c r="Z92" s="2096"/>
      <c r="AA92" s="2096"/>
      <c r="AB92" s="2096"/>
      <c r="AC92" s="2096"/>
      <c r="AD92" s="2096"/>
      <c r="AE92" s="2096"/>
      <c r="AF92" s="2096"/>
      <c r="AG92" s="2096"/>
      <c r="AH92" s="2096"/>
      <c r="AI92" s="2096"/>
      <c r="AJ92" s="2097"/>
      <c r="AK92" s="578"/>
      <c r="AL92" s="575"/>
      <c r="AM92" s="575"/>
      <c r="AN92" s="570"/>
    </row>
    <row r="93" spans="1:43" s="571" customFormat="1" ht="12.75" customHeight="1">
      <c r="A93" s="573"/>
      <c r="B93" s="574"/>
      <c r="C93" s="574"/>
      <c r="D93" s="574"/>
      <c r="E93" s="2098"/>
      <c r="F93" s="2099"/>
      <c r="G93" s="2099"/>
      <c r="H93" s="2099"/>
      <c r="I93" s="2099"/>
      <c r="J93" s="2099"/>
      <c r="K93" s="2099"/>
      <c r="L93" s="2099"/>
      <c r="M93" s="2099"/>
      <c r="N93" s="2099"/>
      <c r="O93" s="2099"/>
      <c r="P93" s="2099"/>
      <c r="Q93" s="2099"/>
      <c r="R93" s="2099"/>
      <c r="S93" s="2099"/>
      <c r="T93" s="2099"/>
      <c r="U93" s="2099"/>
      <c r="V93" s="2099"/>
      <c r="W93" s="2099"/>
      <c r="X93" s="2099"/>
      <c r="Y93" s="2099"/>
      <c r="Z93" s="2099"/>
      <c r="AA93" s="2099"/>
      <c r="AB93" s="2099"/>
      <c r="AC93" s="2099"/>
      <c r="AD93" s="2099"/>
      <c r="AE93" s="2099"/>
      <c r="AF93" s="2099"/>
      <c r="AG93" s="2099"/>
      <c r="AH93" s="2099"/>
      <c r="AI93" s="2099"/>
      <c r="AJ93" s="2100"/>
      <c r="AK93" s="578"/>
      <c r="AL93" s="575"/>
      <c r="AM93" s="575"/>
      <c r="AN93" s="570"/>
    </row>
    <row r="94" spans="1:43" s="571" customFormat="1" ht="12.75" customHeight="1">
      <c r="A94" s="573"/>
      <c r="B94" s="574"/>
      <c r="C94" s="574"/>
      <c r="D94" s="574"/>
      <c r="E94" s="2098"/>
      <c r="F94" s="2099"/>
      <c r="G94" s="2099"/>
      <c r="H94" s="2099"/>
      <c r="I94" s="2099"/>
      <c r="J94" s="2099"/>
      <c r="K94" s="2099"/>
      <c r="L94" s="2099"/>
      <c r="M94" s="2099"/>
      <c r="N94" s="2099"/>
      <c r="O94" s="2099"/>
      <c r="P94" s="2099"/>
      <c r="Q94" s="2099"/>
      <c r="R94" s="2099"/>
      <c r="S94" s="2099"/>
      <c r="T94" s="2099"/>
      <c r="U94" s="2099"/>
      <c r="V94" s="2099"/>
      <c r="W94" s="2099"/>
      <c r="X94" s="2099"/>
      <c r="Y94" s="2099"/>
      <c r="Z94" s="2099"/>
      <c r="AA94" s="2099"/>
      <c r="AB94" s="2099"/>
      <c r="AC94" s="2099"/>
      <c r="AD94" s="2099"/>
      <c r="AE94" s="2099"/>
      <c r="AF94" s="2099"/>
      <c r="AG94" s="2099"/>
      <c r="AH94" s="2099"/>
      <c r="AI94" s="2099"/>
      <c r="AJ94" s="2100"/>
      <c r="AK94" s="578"/>
      <c r="AL94" s="575"/>
      <c r="AM94" s="575"/>
      <c r="AN94" s="570"/>
    </row>
    <row r="95" spans="1:43" s="571" customFormat="1" ht="12.75" customHeight="1">
      <c r="A95" s="573"/>
      <c r="B95" s="574"/>
      <c r="C95" s="574"/>
      <c r="D95" s="574"/>
      <c r="E95" s="2098"/>
      <c r="F95" s="2099"/>
      <c r="G95" s="2099"/>
      <c r="H95" s="2099"/>
      <c r="I95" s="2099"/>
      <c r="J95" s="2099"/>
      <c r="K95" s="2099"/>
      <c r="L95" s="2099"/>
      <c r="M95" s="2099"/>
      <c r="N95" s="2099"/>
      <c r="O95" s="2099"/>
      <c r="P95" s="2099"/>
      <c r="Q95" s="2099"/>
      <c r="R95" s="2099"/>
      <c r="S95" s="2099"/>
      <c r="T95" s="2099"/>
      <c r="U95" s="2099"/>
      <c r="V95" s="2099"/>
      <c r="W95" s="2099"/>
      <c r="X95" s="2099"/>
      <c r="Y95" s="2099"/>
      <c r="Z95" s="2099"/>
      <c r="AA95" s="2099"/>
      <c r="AB95" s="2099"/>
      <c r="AC95" s="2099"/>
      <c r="AD95" s="2099"/>
      <c r="AE95" s="2099"/>
      <c r="AF95" s="2099"/>
      <c r="AG95" s="2099"/>
      <c r="AH95" s="2099"/>
      <c r="AI95" s="2099"/>
      <c r="AJ95" s="210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91">
        <f>Application!AC739</f>
        <v>0.45942028985507244</v>
      </c>
      <c r="F97" s="2092"/>
      <c r="G97" s="2092"/>
      <c r="H97" s="2092"/>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91">
        <f ca="1">SUMIF(Application!AC714:AG738,0.2,Application!G714:J738)/Application!G739+SUMIF(Application!AC714:AG738,0.25,Application!G714:J738)/Application!G739+SUMIF(Application!AC714:AG738,0.3,Application!G714:J738)/Application!G739</f>
        <v>0.2608695652173913</v>
      </c>
      <c r="F98" s="2092"/>
      <c r="G98" s="2092"/>
      <c r="H98" s="2092"/>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91">
        <f ca="1">SUMIF(Application!AC714:AG738,0.35,Application!G714:J738)/Application!G739+SUMIF(Application!AC714:AG738,0.4,Application!G714:J738)/Application!G739+SUMIF(Application!AC714:AG738,0.45,Application!G714:J738)/Application!G739+SUMIF(Application!AC714:AG738,0.5,Application!G714:J738)/Application!G739</f>
        <v>0.44927536231884058</v>
      </c>
      <c r="F99" s="2092"/>
      <c r="G99" s="2092"/>
      <c r="H99" s="2092"/>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9">
        <f ca="1">IF(AND(E97&lt;=0.6,E98&gt;=0.1,OR(E99&gt;=0.1,E98&gt;=0.2)),20,0)</f>
        <v>20</v>
      </c>
      <c r="F100" s="2090"/>
      <c r="G100" s="2090"/>
      <c r="H100" s="2090"/>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77">
        <f>MAX(AP89,AP100)</f>
        <v>20</v>
      </c>
      <c r="AL103" s="2078"/>
      <c r="AM103" s="207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5" t="s">
        <v>1487</v>
      </c>
      <c r="AF106" s="1925"/>
      <c r="AG106" s="1925"/>
      <c r="AH106" s="1925"/>
      <c r="AI106" s="1925"/>
      <c r="AJ106" s="1925"/>
      <c r="AK106" s="1925"/>
      <c r="AL106" s="575"/>
      <c r="AM106" s="575"/>
      <c r="AN106" s="570"/>
      <c r="AO106" s="571" t="str">
        <f>Application!B714</f>
        <v>1 Bedroom</v>
      </c>
      <c r="AQ106" s="571">
        <f>Application!O714</f>
        <v>317</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464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574.88</v>
      </c>
    </row>
    <row r="109" spans="1:49" s="571" customFormat="1" ht="12.75" customHeight="1">
      <c r="A109" s="575"/>
      <c r="B109" s="2103" t="s">
        <v>555</v>
      </c>
      <c r="C109" s="2103"/>
      <c r="D109" s="582" t="s">
        <v>1488</v>
      </c>
      <c r="E109" s="2095" t="s">
        <v>2121</v>
      </c>
      <c r="F109" s="2096"/>
      <c r="G109" s="2096"/>
      <c r="H109" s="2096"/>
      <c r="I109" s="2096"/>
      <c r="J109" s="2096"/>
      <c r="K109" s="2096"/>
      <c r="L109" s="2096"/>
      <c r="M109" s="2096"/>
      <c r="N109" s="2096"/>
      <c r="O109" s="2096"/>
      <c r="P109" s="2096"/>
      <c r="Q109" s="2096"/>
      <c r="R109" s="2096"/>
      <c r="S109" s="2096"/>
      <c r="T109" s="2096"/>
      <c r="U109" s="2096"/>
      <c r="V109" s="2096"/>
      <c r="W109" s="2096"/>
      <c r="X109" s="2096"/>
      <c r="Y109" s="2096"/>
      <c r="Z109" s="2096"/>
      <c r="AA109" s="2096"/>
      <c r="AB109" s="2096"/>
      <c r="AC109" s="2096"/>
      <c r="AD109" s="2096"/>
      <c r="AE109" s="2096"/>
      <c r="AF109" s="2096"/>
      <c r="AG109" s="2096"/>
      <c r="AH109" s="2096"/>
      <c r="AI109" s="2096"/>
      <c r="AJ109" s="2097"/>
      <c r="AK109" s="575"/>
      <c r="AL109" s="575"/>
      <c r="AM109" s="575"/>
      <c r="AN109" s="570"/>
      <c r="AO109" s="571" t="str">
        <f>Application!B717</f>
        <v>1 Bedroom</v>
      </c>
      <c r="AQ109" s="571">
        <f>Application!O717</f>
        <v>720.88</v>
      </c>
      <c r="AU109" s="571" t="s">
        <v>2103</v>
      </c>
      <c r="AV109" s="630" t="s">
        <v>2104</v>
      </c>
      <c r="AW109" s="571" t="s">
        <v>2105</v>
      </c>
    </row>
    <row r="110" spans="1:49" s="571" customFormat="1" ht="12.75" customHeight="1">
      <c r="A110" s="575"/>
      <c r="B110" s="574"/>
      <c r="C110" s="574"/>
      <c r="D110" s="574"/>
      <c r="E110" s="2098"/>
      <c r="F110" s="2099"/>
      <c r="G110" s="2099"/>
      <c r="H110" s="2099"/>
      <c r="I110" s="2099"/>
      <c r="J110" s="2099"/>
      <c r="K110" s="2099"/>
      <c r="L110" s="2099"/>
      <c r="M110" s="2099"/>
      <c r="N110" s="2099"/>
      <c r="O110" s="2099"/>
      <c r="P110" s="2099"/>
      <c r="Q110" s="2099"/>
      <c r="R110" s="2099"/>
      <c r="S110" s="2099"/>
      <c r="T110" s="2099"/>
      <c r="U110" s="2099"/>
      <c r="V110" s="2099"/>
      <c r="W110" s="2099"/>
      <c r="X110" s="2099"/>
      <c r="Y110" s="2099"/>
      <c r="Z110" s="2099"/>
      <c r="AA110" s="2099"/>
      <c r="AB110" s="2099"/>
      <c r="AC110" s="2099"/>
      <c r="AD110" s="2099"/>
      <c r="AE110" s="2099"/>
      <c r="AF110" s="2099"/>
      <c r="AG110" s="2099"/>
      <c r="AH110" s="2099"/>
      <c r="AI110" s="2099"/>
      <c r="AJ110" s="2100"/>
      <c r="AK110" s="575"/>
      <c r="AL110" s="575"/>
      <c r="AM110" s="575"/>
      <c r="AN110" s="570"/>
      <c r="AO110" s="571" t="str">
        <f>Application!B718</f>
        <v>1 Bedroom</v>
      </c>
      <c r="AQ110" s="571">
        <f>Application!O718</f>
        <v>866.88</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8"/>
      <c r="F111" s="2099"/>
      <c r="G111" s="2099"/>
      <c r="H111" s="2099"/>
      <c r="I111" s="2099"/>
      <c r="J111" s="2099"/>
      <c r="K111" s="2099"/>
      <c r="L111" s="2099"/>
      <c r="M111" s="2099"/>
      <c r="N111" s="2099"/>
      <c r="O111" s="2099"/>
      <c r="P111" s="2099"/>
      <c r="Q111" s="2099"/>
      <c r="R111" s="2099"/>
      <c r="S111" s="2099"/>
      <c r="T111" s="2099"/>
      <c r="U111" s="2099"/>
      <c r="V111" s="2099"/>
      <c r="W111" s="2099"/>
      <c r="X111" s="2099"/>
      <c r="Y111" s="2099"/>
      <c r="Z111" s="2099"/>
      <c r="AA111" s="2099"/>
      <c r="AB111" s="2099"/>
      <c r="AC111" s="2099"/>
      <c r="AD111" s="2099"/>
      <c r="AE111" s="2099"/>
      <c r="AF111" s="2099"/>
      <c r="AG111" s="2099"/>
      <c r="AH111" s="2099"/>
      <c r="AI111" s="2099"/>
      <c r="AJ111" s="2100"/>
      <c r="AK111" s="575"/>
      <c r="AL111" s="575"/>
      <c r="AM111" s="575"/>
      <c r="AN111" s="570"/>
      <c r="AO111" s="571" t="str">
        <f>Application!B719</f>
        <v>2 Bedrooms</v>
      </c>
      <c r="AQ111" s="571">
        <f>Application!O719</f>
        <v>380</v>
      </c>
      <c r="AU111" s="892" t="str">
        <f>J118</f>
        <v>1-bedroom</v>
      </c>
      <c r="AV111" s="571">
        <f t="array" ref="AV111">SUM(IF(Application!B714:F738="1 Bedroom",Application!G714:J738))</f>
        <v>18</v>
      </c>
      <c r="AW111" s="1048">
        <f>AV111/AV116</f>
        <v>0.2608695652173913</v>
      </c>
    </row>
    <row r="112" spans="1:49" s="571" customFormat="1" ht="12.75" customHeight="1">
      <c r="A112" s="575"/>
      <c r="B112" s="574"/>
      <c r="C112" s="574"/>
      <c r="D112" s="574"/>
      <c r="E112" s="2098"/>
      <c r="F112" s="2099"/>
      <c r="G112" s="2099"/>
      <c r="H112" s="2099"/>
      <c r="I112" s="2099"/>
      <c r="J112" s="2099"/>
      <c r="K112" s="2099"/>
      <c r="L112" s="2099"/>
      <c r="M112" s="2099"/>
      <c r="N112" s="2099"/>
      <c r="O112" s="2099"/>
      <c r="P112" s="2099"/>
      <c r="Q112" s="2099"/>
      <c r="R112" s="2099"/>
      <c r="S112" s="2099"/>
      <c r="T112" s="2099"/>
      <c r="U112" s="2099"/>
      <c r="V112" s="2099"/>
      <c r="W112" s="2099"/>
      <c r="X112" s="2099"/>
      <c r="Y112" s="2099"/>
      <c r="Z112" s="2099"/>
      <c r="AA112" s="2099"/>
      <c r="AB112" s="2099"/>
      <c r="AC112" s="2099"/>
      <c r="AD112" s="2099"/>
      <c r="AE112" s="2099"/>
      <c r="AF112" s="2099"/>
      <c r="AG112" s="2099"/>
      <c r="AH112" s="2099"/>
      <c r="AI112" s="2099"/>
      <c r="AJ112" s="2100"/>
      <c r="AK112" s="575"/>
      <c r="AL112" s="575"/>
      <c r="AM112" s="575"/>
      <c r="AN112" s="570"/>
      <c r="AO112" s="571" t="str">
        <f>Application!B720</f>
        <v>2 Bedrooms</v>
      </c>
      <c r="AQ112" s="571">
        <f>Application!O720</f>
        <v>556</v>
      </c>
      <c r="AU112" s="892" t="str">
        <f>O118</f>
        <v>2-bedroom</v>
      </c>
      <c r="AV112" s="571">
        <f t="array" ref="AV112">SUM(IF(Application!B714:F738="2 Bedrooms",Application!G714:J738))</f>
        <v>33</v>
      </c>
      <c r="AW112" s="1048">
        <f>AV112/AV116</f>
        <v>0.47826086956521741</v>
      </c>
    </row>
    <row r="113" spans="1:52" s="571" customFormat="1" ht="12.75" customHeight="1">
      <c r="A113" s="575"/>
      <c r="B113" s="574"/>
      <c r="C113" s="574"/>
      <c r="D113" s="574"/>
      <c r="E113" s="2098"/>
      <c r="F113" s="2099"/>
      <c r="G113" s="2099"/>
      <c r="H113" s="2099"/>
      <c r="I113" s="2099"/>
      <c r="J113" s="2099"/>
      <c r="K113" s="2099"/>
      <c r="L113" s="2099"/>
      <c r="M113" s="2099"/>
      <c r="N113" s="2099"/>
      <c r="O113" s="2099"/>
      <c r="P113" s="2099"/>
      <c r="Q113" s="2099"/>
      <c r="R113" s="2099"/>
      <c r="S113" s="2099"/>
      <c r="T113" s="2099"/>
      <c r="U113" s="2099"/>
      <c r="V113" s="2099"/>
      <c r="W113" s="2099"/>
      <c r="X113" s="2099"/>
      <c r="Y113" s="2099"/>
      <c r="Z113" s="2099"/>
      <c r="AA113" s="2099"/>
      <c r="AB113" s="2099"/>
      <c r="AC113" s="2099"/>
      <c r="AD113" s="2099"/>
      <c r="AE113" s="2099"/>
      <c r="AF113" s="2099"/>
      <c r="AG113" s="2099"/>
      <c r="AH113" s="2099"/>
      <c r="AI113" s="2099"/>
      <c r="AJ113" s="2100"/>
      <c r="AK113" s="575"/>
      <c r="AL113" s="575"/>
      <c r="AM113" s="575"/>
      <c r="AN113" s="570"/>
      <c r="AO113" s="571" t="str">
        <f>Application!B721</f>
        <v>2 Bedrooms</v>
      </c>
      <c r="AQ113" s="571">
        <f>Application!O721</f>
        <v>691.88</v>
      </c>
      <c r="AU113" s="892" t="str">
        <f>T118</f>
        <v>3-bedroom</v>
      </c>
      <c r="AV113" s="571">
        <f t="array" ref="AV113">SUM(IF(Application!B714:F738="3 Bedrooms",Application!G714:J738))</f>
        <v>18</v>
      </c>
      <c r="AW113" s="1048">
        <f>AV113/AV116</f>
        <v>0.2608695652173913</v>
      </c>
    </row>
    <row r="114" spans="1:52" s="571" customFormat="1" ht="12.75" customHeight="1">
      <c r="A114" s="575"/>
      <c r="B114" s="574"/>
      <c r="C114" s="574"/>
      <c r="D114" s="574"/>
      <c r="E114" s="2098"/>
      <c r="F114" s="2099"/>
      <c r="G114" s="2099"/>
      <c r="H114" s="2099"/>
      <c r="I114" s="2099"/>
      <c r="J114" s="2099"/>
      <c r="K114" s="2099"/>
      <c r="L114" s="2099"/>
      <c r="M114" s="2099"/>
      <c r="N114" s="2099"/>
      <c r="O114" s="2099"/>
      <c r="P114" s="2099"/>
      <c r="Q114" s="2099"/>
      <c r="R114" s="2099"/>
      <c r="S114" s="2099"/>
      <c r="T114" s="2099"/>
      <c r="U114" s="2099"/>
      <c r="V114" s="2099"/>
      <c r="W114" s="2099"/>
      <c r="X114" s="2099"/>
      <c r="Y114" s="2099"/>
      <c r="Z114" s="2099"/>
      <c r="AA114" s="2099"/>
      <c r="AB114" s="2099"/>
      <c r="AC114" s="2099"/>
      <c r="AD114" s="2099"/>
      <c r="AE114" s="2099"/>
      <c r="AF114" s="2099"/>
      <c r="AG114" s="2099"/>
      <c r="AH114" s="2099"/>
      <c r="AI114" s="2099"/>
      <c r="AJ114" s="2100"/>
      <c r="AK114" s="575"/>
      <c r="AL114" s="575"/>
      <c r="AM114" s="575"/>
      <c r="AN114" s="570"/>
      <c r="AO114" s="571" t="str">
        <f>Application!B722</f>
        <v>2 Bedrooms</v>
      </c>
      <c r="AQ114" s="571">
        <f>Application!O722</f>
        <v>866.88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8"/>
      <c r="F115" s="2099"/>
      <c r="G115" s="2099"/>
      <c r="H115" s="2099"/>
      <c r="I115" s="2099"/>
      <c r="J115" s="2099"/>
      <c r="K115" s="2099"/>
      <c r="L115" s="2099"/>
      <c r="M115" s="2099"/>
      <c r="N115" s="2099"/>
      <c r="O115" s="2099"/>
      <c r="P115" s="2099"/>
      <c r="Q115" s="2099"/>
      <c r="R115" s="2099"/>
      <c r="S115" s="2099"/>
      <c r="T115" s="2099"/>
      <c r="U115" s="2099"/>
      <c r="V115" s="2099"/>
      <c r="W115" s="2099"/>
      <c r="X115" s="2099"/>
      <c r="Y115" s="2099"/>
      <c r="Z115" s="2099"/>
      <c r="AA115" s="2099"/>
      <c r="AB115" s="2099"/>
      <c r="AC115" s="2099"/>
      <c r="AD115" s="2099"/>
      <c r="AE115" s="2099"/>
      <c r="AF115" s="2099"/>
      <c r="AG115" s="2099"/>
      <c r="AH115" s="2099"/>
      <c r="AI115" s="2099"/>
      <c r="AJ115" s="2100"/>
      <c r="AK115" s="575"/>
      <c r="AL115" s="575"/>
      <c r="AM115" s="575"/>
      <c r="AN115" s="570"/>
      <c r="AO115" s="571" t="str">
        <f>Application!B723</f>
        <v>2 Bedrooms</v>
      </c>
      <c r="AQ115" s="571">
        <f>Application!O723</f>
        <v>1042.8800000000001</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8"/>
      <c r="F116" s="2099"/>
      <c r="G116" s="2099"/>
      <c r="H116" s="2099"/>
      <c r="I116" s="2099"/>
      <c r="J116" s="2099"/>
      <c r="K116" s="2099"/>
      <c r="L116" s="2099"/>
      <c r="M116" s="2099"/>
      <c r="N116" s="2099"/>
      <c r="O116" s="2099"/>
      <c r="P116" s="2099"/>
      <c r="Q116" s="2099"/>
      <c r="R116" s="2099"/>
      <c r="S116" s="2099"/>
      <c r="T116" s="2099"/>
      <c r="U116" s="2099"/>
      <c r="V116" s="2099"/>
      <c r="W116" s="2099"/>
      <c r="X116" s="2099"/>
      <c r="Y116" s="2099"/>
      <c r="Z116" s="2099"/>
      <c r="AA116" s="2099"/>
      <c r="AB116" s="2099"/>
      <c r="AC116" s="2099"/>
      <c r="AD116" s="2099"/>
      <c r="AE116" s="2099"/>
      <c r="AF116" s="2099"/>
      <c r="AG116" s="2099"/>
      <c r="AH116" s="2099"/>
      <c r="AI116" s="2099"/>
      <c r="AJ116" s="2100"/>
      <c r="AK116" s="575"/>
      <c r="AL116" s="575"/>
      <c r="AM116" s="575"/>
      <c r="AN116" s="570"/>
      <c r="AO116" s="571" t="str">
        <f>Application!B724</f>
        <v>3 Bedrooms</v>
      </c>
      <c r="AQ116" s="571">
        <f>Application!O724</f>
        <v>437</v>
      </c>
      <c r="AV116" s="571">
        <f>SUM(AV110:AV115)</f>
        <v>69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640</v>
      </c>
    </row>
    <row r="118" spans="1:52" s="571" customFormat="1" ht="12.75" customHeight="1">
      <c r="A118" s="575"/>
      <c r="B118" s="574"/>
      <c r="C118" s="575"/>
      <c r="D118" s="575"/>
      <c r="E118" s="2091" t="s">
        <v>1766</v>
      </c>
      <c r="F118" s="2092"/>
      <c r="G118" s="2092"/>
      <c r="H118" s="2092"/>
      <c r="I118" s="612"/>
      <c r="J118" s="2092" t="s">
        <v>1811</v>
      </c>
      <c r="K118" s="2092"/>
      <c r="L118" s="2092"/>
      <c r="M118" s="2092"/>
      <c r="N118" s="612"/>
      <c r="O118" s="2092" t="s">
        <v>1812</v>
      </c>
      <c r="P118" s="2092"/>
      <c r="Q118" s="2092"/>
      <c r="R118" s="2092"/>
      <c r="S118" s="612"/>
      <c r="T118" s="2092" t="s">
        <v>1507</v>
      </c>
      <c r="U118" s="2092"/>
      <c r="V118" s="2092"/>
      <c r="W118" s="2092"/>
      <c r="X118" s="612"/>
      <c r="Y118" s="2092" t="s">
        <v>1813</v>
      </c>
      <c r="Z118" s="2092"/>
      <c r="AA118" s="2092"/>
      <c r="AB118" s="2092"/>
      <c r="AC118" s="612"/>
      <c r="AD118" s="2092" t="s">
        <v>1814</v>
      </c>
      <c r="AE118" s="2092"/>
      <c r="AF118" s="2092"/>
      <c r="AG118" s="2092"/>
      <c r="AH118" s="612"/>
      <c r="AI118" s="612"/>
      <c r="AJ118" s="614"/>
      <c r="AK118" s="575"/>
      <c r="AL118" s="575"/>
      <c r="AM118" s="575"/>
      <c r="AN118" s="570"/>
      <c r="AO118" s="571" t="str">
        <f>Application!B726</f>
        <v>3 Bedrooms</v>
      </c>
      <c r="AQ118" s="571">
        <f>Application!O726</f>
        <v>799.88</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1002.88</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1204.8800000000001</v>
      </c>
    </row>
    <row r="121" spans="1:52" s="571" customFormat="1" ht="12.75" customHeight="1">
      <c r="A121" s="575"/>
      <c r="B121" s="574"/>
      <c r="C121" s="575"/>
      <c r="D121" s="575"/>
      <c r="E121" s="2093"/>
      <c r="F121" s="2094"/>
      <c r="G121" s="2094"/>
      <c r="H121" s="2094"/>
      <c r="I121" s="900"/>
      <c r="J121" s="2094">
        <v>1501</v>
      </c>
      <c r="K121" s="2094"/>
      <c r="L121" s="2094"/>
      <c r="M121" s="2094"/>
      <c r="N121" s="900"/>
      <c r="O121" s="2094">
        <v>1813</v>
      </c>
      <c r="P121" s="2094"/>
      <c r="Q121" s="2094"/>
      <c r="R121" s="2094"/>
      <c r="S121" s="900"/>
      <c r="T121" s="2094">
        <v>1887</v>
      </c>
      <c r="U121" s="2094"/>
      <c r="V121" s="2094"/>
      <c r="W121" s="2094"/>
      <c r="X121" s="900"/>
      <c r="Y121" s="2094"/>
      <c r="Z121" s="2094"/>
      <c r="AA121" s="2094"/>
      <c r="AB121" s="2094"/>
      <c r="AC121" s="900"/>
      <c r="AD121" s="2094"/>
      <c r="AE121" s="2094"/>
      <c r="AF121" s="2094"/>
      <c r="AG121" s="2094"/>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01">
        <f>Application!DX649</f>
        <v>0</v>
      </c>
      <c r="F124" s="2102"/>
      <c r="G124" s="2102"/>
      <c r="H124" s="2102"/>
      <c r="I124" s="900"/>
      <c r="J124" s="2102">
        <f>Application!EC649</f>
        <v>612.59333333333325</v>
      </c>
      <c r="K124" s="2102"/>
      <c r="L124" s="2102"/>
      <c r="M124" s="2102"/>
      <c r="N124" s="900"/>
      <c r="O124" s="2102">
        <f>Application!EH649</f>
        <v>758.01090909090908</v>
      </c>
      <c r="P124" s="2102"/>
      <c r="Q124" s="2102"/>
      <c r="R124" s="2102"/>
      <c r="S124" s="904"/>
      <c r="T124" s="2102">
        <f>Application!EM649</f>
        <v>850.20444444444456</v>
      </c>
      <c r="U124" s="2102"/>
      <c r="V124" s="2102"/>
      <c r="W124" s="2102"/>
      <c r="X124" s="904"/>
      <c r="Y124" s="2102">
        <f>Application!ER649</f>
        <v>0</v>
      </c>
      <c r="Z124" s="2102"/>
      <c r="AA124" s="2102"/>
      <c r="AB124" s="2102"/>
      <c r="AC124" s="904"/>
      <c r="AD124" s="2102">
        <f>Application!EW649</f>
        <v>0</v>
      </c>
      <c r="AE124" s="2102"/>
      <c r="AF124" s="2102"/>
      <c r="AG124" s="210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8" t="e">
        <f>(E121-E124)/E121</f>
        <v>#DIV/0!</v>
      </c>
      <c r="F127" s="1899"/>
      <c r="G127" s="1899"/>
      <c r="H127" s="1900"/>
      <c r="I127" s="612"/>
      <c r="J127" s="1898">
        <f>(J121-J124)/J121</f>
        <v>0.59187652675993785</v>
      </c>
      <c r="K127" s="1899"/>
      <c r="L127" s="1899"/>
      <c r="M127" s="1900"/>
      <c r="N127" s="612"/>
      <c r="O127" s="1898">
        <f>(O121-O124)/O121</f>
        <v>0.58190242190242192</v>
      </c>
      <c r="P127" s="1899"/>
      <c r="Q127" s="1899"/>
      <c r="R127" s="1900"/>
      <c r="S127" s="612"/>
      <c r="T127" s="1898">
        <f>(T121-T124)/T121</f>
        <v>0.54944120591179413</v>
      </c>
      <c r="U127" s="1899"/>
      <c r="V127" s="1899"/>
      <c r="W127" s="1900"/>
      <c r="X127" s="612"/>
      <c r="Y127" s="1898" t="e">
        <f>(Y121-Y124)/Y121</f>
        <v>#DIV/0!</v>
      </c>
      <c r="Z127" s="1899"/>
      <c r="AA127" s="1899"/>
      <c r="AB127" s="1900"/>
      <c r="AC127" s="612"/>
      <c r="AD127" s="1898" t="e">
        <f>(AD121-AD124)/AD121</f>
        <v>#DIV/0!</v>
      </c>
      <c r="AE127" s="1899"/>
      <c r="AF127" s="1899"/>
      <c r="AG127" s="190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04" t="e">
        <f>IF(((E127-0.1)*AW110)&gt;0,((E127-0.1)*AW110),0)</f>
        <v>#DIV/0!</v>
      </c>
      <c r="F130" s="2105"/>
      <c r="G130" s="2105"/>
      <c r="H130" s="2106"/>
      <c r="I130" s="612"/>
      <c r="J130" s="2104">
        <f>IF(((J127-0.1)*AW111)&gt;0,((J127-0.1)*AW111),0)</f>
        <v>0.12831561567650554</v>
      </c>
      <c r="K130" s="2105"/>
      <c r="L130" s="2105"/>
      <c r="M130" s="2106"/>
      <c r="N130" s="612"/>
      <c r="O130" s="2104">
        <f>IF(((O127-0.1)*AW112)&gt;0,((O127-0.1)*AW112),0)</f>
        <v>0.2304750713446366</v>
      </c>
      <c r="P130" s="2105"/>
      <c r="Q130" s="2105"/>
      <c r="R130" s="2106"/>
      <c r="S130" s="612"/>
      <c r="T130" s="2104">
        <f>IF(((T127-0.1)*AW113)&gt;0,((T127-0.1)*AW113),0)</f>
        <v>0.11724553197698978</v>
      </c>
      <c r="U130" s="2105"/>
      <c r="V130" s="2105"/>
      <c r="W130" s="2106"/>
      <c r="X130" s="612"/>
      <c r="Y130" s="2104" t="e">
        <f>IF(((Y127-0.1)*AW114)&gt;0,((Y127-0.1)*AW114),0)</f>
        <v>#DIV/0!</v>
      </c>
      <c r="Z130" s="2105"/>
      <c r="AA130" s="2105"/>
      <c r="AB130" s="2106"/>
      <c r="AC130" s="612"/>
      <c r="AD130" s="2104" t="e">
        <f>IF(((AD127-0.1)*AW115)&gt;0,((AD127-0.1)*AW115),0)</f>
        <v>#DIV/0!</v>
      </c>
      <c r="AE130" s="2105"/>
      <c r="AF130" s="2105"/>
      <c r="AG130" s="210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8">
        <f>ROUNDDOWN(SUMIF(E130:AG130,"&gt;0"),2)</f>
        <v>0.47</v>
      </c>
      <c r="F132" s="1899"/>
      <c r="G132" s="1899"/>
      <c r="H132" s="1900"/>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7">
        <f>IF((E132*100)&gt;10,10,E132*100)</f>
        <v>10</v>
      </c>
      <c r="F133" s="2078"/>
      <c r="G133" s="2078"/>
      <c r="H133" s="2079"/>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77">
        <f>E133</f>
        <v>10</v>
      </c>
      <c r="AL137" s="2078"/>
      <c r="AM137" s="207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25" t="s">
        <v>1487</v>
      </c>
      <c r="AF140" s="1925"/>
      <c r="AG140" s="1925"/>
      <c r="AH140" s="1925"/>
      <c r="AI140" s="1925"/>
      <c r="AJ140" s="1925"/>
      <c r="AK140" s="192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92" t="s">
        <v>1511</v>
      </c>
      <c r="AG142" s="1992"/>
      <c r="AH142" s="1992"/>
      <c r="AI142" s="1992"/>
      <c r="AJ142" s="1992"/>
      <c r="AK142" s="1992"/>
      <c r="AL142" s="1992"/>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82" t="s">
        <v>2625</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83" t="s">
        <v>1514</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27" t="s">
        <v>601</v>
      </c>
      <c r="AC149" s="202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83" t="s">
        <v>1516</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2">
        <f>IF($AB$149="N/A",VLOOKUP($B$147,$AO$145:$AP$148,2,FALSE),VLOOKUP($B$152,$AO$150:$AP$153,2,FALSE))</f>
        <v>7</v>
      </c>
      <c r="AK155" s="195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92" t="s">
        <v>1525</v>
      </c>
      <c r="AG157" s="1992"/>
      <c r="AH157" s="1992"/>
      <c r="AI157" s="1992"/>
      <c r="AJ157" s="1992"/>
      <c r="AK157" s="1992"/>
      <c r="AL157" s="1992"/>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83" t="s">
        <v>1523</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7" t="s">
        <v>601</v>
      </c>
      <c r="AD161" s="2027"/>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83" t="s">
        <v>1516</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82" t="s">
        <v>2693</v>
      </c>
      <c r="D167" s="2082"/>
      <c r="E167" s="2082"/>
      <c r="F167" s="2082"/>
      <c r="G167" s="2082"/>
      <c r="H167" s="2082"/>
      <c r="I167" s="2082"/>
      <c r="J167" s="2082"/>
      <c r="K167" s="2082"/>
      <c r="L167" s="2082"/>
      <c r="M167" s="2082"/>
      <c r="N167" s="2082"/>
      <c r="O167" s="2082"/>
      <c r="P167" s="2082"/>
      <c r="Q167" s="2082"/>
      <c r="R167" s="2082"/>
      <c r="S167" s="2082"/>
      <c r="T167" s="2082"/>
      <c r="U167" s="2082"/>
      <c r="V167" s="2082"/>
      <c r="W167" s="2082"/>
      <c r="X167" s="2082"/>
      <c r="Y167" s="2082"/>
      <c r="Z167" s="2082"/>
      <c r="AA167" s="2082"/>
      <c r="AB167" s="2082"/>
      <c r="AC167" s="2082"/>
      <c r="AD167" s="2082"/>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51">
        <f>IF($AC$161="N/A",VLOOKUP($C$159,$AO$159:$AP$162,2,FALSE),VLOOKUP($C$163,$AO$166:$AP$168,2,FALSE))</f>
        <v>3</v>
      </c>
      <c r="AK169" s="195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77">
        <f>$AJ$155+$AJ$169</f>
        <v>10</v>
      </c>
      <c r="AL172" s="2078"/>
      <c r="AM172" s="207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5" t="s">
        <v>1487</v>
      </c>
      <c r="AF175" s="1925"/>
      <c r="AG175" s="1925"/>
      <c r="AH175" s="1925"/>
      <c r="AI175" s="1925"/>
      <c r="AJ175" s="1925"/>
      <c r="AK175" s="1925"/>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80" t="s">
        <v>1102</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1"/>
      <c r="AE177" s="571"/>
      <c r="AF177" s="1992" t="s">
        <v>1536</v>
      </c>
      <c r="AG177" s="1992"/>
      <c r="AH177" s="1992"/>
      <c r="AI177" s="1992"/>
      <c r="AJ177" s="1992"/>
      <c r="AK177" s="1992"/>
      <c r="AL177" s="1992"/>
      <c r="AN177" s="632"/>
      <c r="AP177" s="585" t="s">
        <v>1104</v>
      </c>
      <c r="AQ177" s="585">
        <v>10</v>
      </c>
    </row>
    <row r="178" spans="1:45" s="585" customFormat="1" ht="12.75" customHeight="1">
      <c r="A178" s="571"/>
      <c r="B178" s="2081" t="s">
        <v>1987</v>
      </c>
      <c r="C178" s="2081"/>
      <c r="D178" s="2081"/>
      <c r="E178" s="2081"/>
      <c r="F178" s="2081"/>
      <c r="G178" s="2081"/>
      <c r="H178" s="2081"/>
      <c r="I178" s="2081"/>
      <c r="J178" s="2081"/>
      <c r="K178" s="2081"/>
      <c r="L178" s="2081"/>
      <c r="M178" s="2081"/>
      <c r="N178" s="2081"/>
      <c r="O178" s="2081"/>
      <c r="P178" s="2081"/>
      <c r="Q178" s="2081"/>
      <c r="R178" s="2081"/>
      <c r="S178" s="2081"/>
      <c r="T178" s="2082" t="s">
        <v>601</v>
      </c>
      <c r="U178" s="2082"/>
      <c r="V178" s="2082"/>
      <c r="W178" s="2082"/>
      <c r="X178" s="2082"/>
      <c r="Y178" s="2082"/>
      <c r="Z178" s="2082"/>
      <c r="AA178" s="2082"/>
      <c r="AB178" s="2082"/>
      <c r="AC178" s="2082"/>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19">
        <f>IF(AK78&gt;0,VLOOKUP($B$177,AP174:AQ180,2,FALSE),0)</f>
        <v>10</v>
      </c>
      <c r="AL180" s="1920"/>
      <c r="AM180" s="1921"/>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5" t="s">
        <v>1545</v>
      </c>
      <c r="AF183" s="1925"/>
      <c r="AG183" s="1925"/>
      <c r="AH183" s="1925"/>
      <c r="AI183" s="1925"/>
      <c r="AJ183" s="1925"/>
      <c r="AK183" s="192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4" t="s">
        <v>2627</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2"/>
      <c r="AD188" s="2064">
        <v>14442686</v>
      </c>
      <c r="AE188" s="2064"/>
      <c r="AF188" s="2064"/>
      <c r="AG188" s="2064"/>
      <c r="AH188" s="2064"/>
      <c r="AI188" s="2064"/>
      <c r="AJ188" s="2064"/>
      <c r="AK188" s="645"/>
    </row>
    <row r="189" spans="1:45">
      <c r="A189" s="640"/>
      <c r="B189" s="2074"/>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2"/>
      <c r="AD189" s="2064"/>
      <c r="AE189" s="2064"/>
      <c r="AF189" s="2064"/>
      <c r="AG189" s="2064"/>
      <c r="AH189" s="2064"/>
      <c r="AI189" s="2064"/>
      <c r="AJ189" s="2064"/>
      <c r="AK189" s="645"/>
    </row>
    <row r="190" spans="1:45">
      <c r="A190" s="640"/>
      <c r="B190" s="2074"/>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2"/>
      <c r="AD190" s="2064"/>
      <c r="AE190" s="2064"/>
      <c r="AF190" s="2064"/>
      <c r="AG190" s="2064"/>
      <c r="AH190" s="2064"/>
      <c r="AI190" s="2064"/>
      <c r="AJ190" s="2064"/>
      <c r="AK190" s="645"/>
    </row>
    <row r="191" spans="1:45">
      <c r="A191" s="640"/>
      <c r="B191" s="2074"/>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2"/>
      <c r="AD191" s="2064"/>
      <c r="AE191" s="2064"/>
      <c r="AF191" s="2064"/>
      <c r="AG191" s="2064"/>
      <c r="AH191" s="2064"/>
      <c r="AI191" s="2064"/>
      <c r="AJ191" s="2064"/>
      <c r="AK191" s="645"/>
    </row>
    <row r="192" spans="1:45">
      <c r="A192" s="640"/>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2"/>
      <c r="AD192" s="2064"/>
      <c r="AE192" s="2064"/>
      <c r="AF192" s="2064"/>
      <c r="AG192" s="2064"/>
      <c r="AH192" s="2064"/>
      <c r="AI192" s="2064"/>
      <c r="AJ192" s="2064"/>
      <c r="AK192" s="645"/>
    </row>
    <row r="193" spans="1:37">
      <c r="A193" s="640"/>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2"/>
      <c r="AD193" s="2064"/>
      <c r="AE193" s="2064"/>
      <c r="AF193" s="2064"/>
      <c r="AG193" s="2064"/>
      <c r="AH193" s="2064"/>
      <c r="AI193" s="2064"/>
      <c r="AJ193" s="2064"/>
      <c r="AK193" s="645"/>
    </row>
    <row r="194" spans="1:37">
      <c r="A194" s="640"/>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2"/>
      <c r="AD194" s="2064"/>
      <c r="AE194" s="2064"/>
      <c r="AF194" s="2064"/>
      <c r="AG194" s="2064"/>
      <c r="AH194" s="2064"/>
      <c r="AI194" s="2064"/>
      <c r="AJ194" s="2064"/>
      <c r="AK194" s="645"/>
    </row>
    <row r="195" spans="1:37">
      <c r="A195" s="640"/>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2"/>
      <c r="AD195" s="2064"/>
      <c r="AE195" s="2064"/>
      <c r="AF195" s="2064"/>
      <c r="AG195" s="2064"/>
      <c r="AH195" s="2064"/>
      <c r="AI195" s="2064"/>
      <c r="AJ195" s="2064"/>
      <c r="AK195" s="645"/>
    </row>
    <row r="196" spans="1:37">
      <c r="A196" s="640"/>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2"/>
      <c r="AD196" s="2064"/>
      <c r="AE196" s="2064"/>
      <c r="AF196" s="2064"/>
      <c r="AG196" s="2064"/>
      <c r="AH196" s="2064"/>
      <c r="AI196" s="2064"/>
      <c r="AJ196" s="2064"/>
      <c r="AK196" s="645"/>
    </row>
    <row r="197" spans="1:37">
      <c r="A197" s="640"/>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2"/>
      <c r="AD197" s="2064"/>
      <c r="AE197" s="2064"/>
      <c r="AF197" s="2064"/>
      <c r="AG197" s="2064"/>
      <c r="AH197" s="2064"/>
      <c r="AI197" s="2064"/>
      <c r="AJ197" s="2064"/>
      <c r="AK197" s="645"/>
    </row>
    <row r="198" spans="1:37">
      <c r="A198" s="640"/>
      <c r="B198" s="1939" t="s">
        <v>1805</v>
      </c>
      <c r="C198" s="1939"/>
      <c r="D198" s="1939"/>
      <c r="E198" s="1939"/>
      <c r="F198" s="1939"/>
      <c r="G198" s="1939"/>
      <c r="H198" s="1939"/>
      <c r="I198" s="1939"/>
      <c r="J198" s="1939"/>
      <c r="K198" s="1939"/>
      <c r="L198" s="1939"/>
      <c r="M198" s="1939"/>
      <c r="N198" s="1939"/>
      <c r="O198" s="1939"/>
      <c r="P198" s="1939"/>
      <c r="Q198" s="1939"/>
      <c r="R198" s="1939"/>
      <c r="S198" s="1939"/>
      <c r="T198" s="1939"/>
      <c r="U198" s="1939"/>
      <c r="V198" s="1939"/>
      <c r="W198" s="1939"/>
      <c r="X198" s="1939"/>
      <c r="Y198" s="1939"/>
      <c r="Z198" s="1939"/>
      <c r="AA198" s="1939"/>
      <c r="AB198" s="1939"/>
      <c r="AC198" s="571"/>
      <c r="AD198" s="2062">
        <f>AB249</f>
        <v>2043640.9320782553</v>
      </c>
      <c r="AE198" s="2062"/>
      <c r="AF198" s="2062"/>
      <c r="AG198" s="2062"/>
      <c r="AH198" s="2062"/>
      <c r="AI198" s="2062"/>
      <c r="AJ198" s="2062"/>
      <c r="AK198" s="645"/>
    </row>
    <row r="199" spans="1:37">
      <c r="A199" s="640"/>
      <c r="B199" s="1937" t="s">
        <v>1768</v>
      </c>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882"/>
      <c r="AD199" s="2063">
        <f>'Sources and Uses Budget'!B15</f>
        <v>0</v>
      </c>
      <c r="AE199" s="2063"/>
      <c r="AF199" s="2063"/>
      <c r="AG199" s="2063"/>
      <c r="AH199" s="2063"/>
      <c r="AI199" s="2063"/>
      <c r="AJ199" s="206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68">
        <f>SUM(AD188:AJ198)-AD199</f>
        <v>16486326.932078255</v>
      </c>
      <c r="AE200" s="2068"/>
      <c r="AF200" s="2068"/>
      <c r="AG200" s="2068"/>
      <c r="AH200" s="2068"/>
      <c r="AI200" s="2068"/>
      <c r="AJ200" s="206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7" t="s">
        <v>1785</v>
      </c>
      <c r="J211" s="2087"/>
      <c r="K211" s="2087"/>
      <c r="L211" s="571"/>
      <c r="M211" s="571"/>
      <c r="N211" s="571"/>
      <c r="O211" s="571"/>
      <c r="P211" s="571"/>
      <c r="Q211" s="571"/>
      <c r="R211" s="571"/>
      <c r="S211" s="571"/>
      <c r="T211" s="1903" t="s">
        <v>1779</v>
      </c>
      <c r="U211" s="1903"/>
      <c r="V211" s="1903"/>
      <c r="W211" s="1903"/>
      <c r="X211" s="1903"/>
      <c r="Y211" s="1903"/>
      <c r="Z211" s="885"/>
      <c r="AA211" s="524"/>
      <c r="AB211" s="2084" t="s">
        <v>1780</v>
      </c>
      <c r="AC211" s="2084"/>
      <c r="AD211" s="2084"/>
      <c r="AE211" s="2084"/>
      <c r="AF211" s="2084"/>
      <c r="AG211" s="2084"/>
      <c r="AH211" s="863"/>
      <c r="AI211" s="863"/>
      <c r="AJ211" s="863"/>
      <c r="AK211" s="645"/>
    </row>
    <row r="212" spans="1:37">
      <c r="A212" s="640"/>
      <c r="B212" s="2085" t="s">
        <v>1765</v>
      </c>
      <c r="C212" s="2085"/>
      <c r="D212" s="2085"/>
      <c r="E212" s="2085"/>
      <c r="F212" s="2085"/>
      <c r="G212" s="2085"/>
      <c r="I212" s="2086" t="s">
        <v>1786</v>
      </c>
      <c r="J212" s="2086"/>
      <c r="K212" s="2086"/>
      <c r="L212" s="1045"/>
      <c r="N212" s="1938" t="s">
        <v>1781</v>
      </c>
      <c r="O212" s="1938"/>
      <c r="P212" s="1938"/>
      <c r="Q212" s="1938"/>
      <c r="R212" s="1938"/>
      <c r="T212" s="1938" t="s">
        <v>1782</v>
      </c>
      <c r="U212" s="1938"/>
      <c r="V212" s="1938"/>
      <c r="W212" s="1938"/>
      <c r="X212" s="1938"/>
      <c r="Y212" s="1938"/>
      <c r="Z212" s="886"/>
      <c r="AA212" s="524"/>
      <c r="AB212" s="1941" t="s">
        <v>1783</v>
      </c>
      <c r="AC212" s="1941"/>
      <c r="AD212" s="1941"/>
      <c r="AE212" s="1941"/>
      <c r="AF212" s="1941"/>
      <c r="AG212" s="1941"/>
      <c r="AH212" s="863"/>
      <c r="AI212" s="863"/>
      <c r="AJ212" s="863"/>
      <c r="AK212" s="645"/>
    </row>
    <row r="213" spans="1:37">
      <c r="A213" s="640"/>
      <c r="B213" s="1940" t="s">
        <v>2734</v>
      </c>
      <c r="C213" s="1940"/>
      <c r="D213" s="1940"/>
      <c r="E213" s="1940"/>
      <c r="F213" s="1940"/>
      <c r="G213" s="1940"/>
      <c r="H213" s="888"/>
      <c r="I213" s="1908">
        <v>5</v>
      </c>
      <c r="J213" s="1908"/>
      <c r="K213" s="1908"/>
      <c r="L213" s="1045"/>
      <c r="N213" s="1905">
        <v>585</v>
      </c>
      <c r="O213" s="1905"/>
      <c r="P213" s="1905"/>
      <c r="Q213" s="1905"/>
      <c r="R213" s="1905"/>
      <c r="T213" s="1904">
        <v>1035</v>
      </c>
      <c r="U213" s="1904"/>
      <c r="V213" s="1904"/>
      <c r="W213" s="1904"/>
      <c r="X213" s="1904"/>
      <c r="Y213" s="1904"/>
      <c r="Z213" s="887"/>
      <c r="AA213" s="887"/>
      <c r="AB213" s="1902">
        <f t="shared" ref="AB213:AB222" si="0">MAX(($T213-$N213)*$I213*12,0)</f>
        <v>27000</v>
      </c>
      <c r="AC213" s="1902"/>
      <c r="AD213" s="1902"/>
      <c r="AE213" s="1902"/>
      <c r="AF213" s="1902"/>
      <c r="AG213" s="1902"/>
      <c r="AH213" s="863"/>
      <c r="AI213" s="863"/>
      <c r="AJ213" s="863"/>
      <c r="AK213" s="645"/>
    </row>
    <row r="214" spans="1:37">
      <c r="A214" s="640"/>
      <c r="B214" s="1940" t="s">
        <v>2734</v>
      </c>
      <c r="C214" s="1940"/>
      <c r="D214" s="1940"/>
      <c r="E214" s="1940"/>
      <c r="F214" s="1940"/>
      <c r="G214" s="1940"/>
      <c r="I214" s="1908">
        <v>2</v>
      </c>
      <c r="J214" s="1908"/>
      <c r="K214" s="1908"/>
      <c r="L214" s="1045"/>
      <c r="N214" s="1905">
        <v>585</v>
      </c>
      <c r="O214" s="1905"/>
      <c r="P214" s="1905"/>
      <c r="Q214" s="1905"/>
      <c r="R214" s="1905"/>
      <c r="T214" s="1904">
        <v>1035</v>
      </c>
      <c r="U214" s="1904"/>
      <c r="V214" s="1904"/>
      <c r="W214" s="1904"/>
      <c r="X214" s="1904"/>
      <c r="Y214" s="1904"/>
      <c r="Z214" s="887"/>
      <c r="AA214" s="887"/>
      <c r="AB214" s="1902">
        <f t="shared" si="0"/>
        <v>10800</v>
      </c>
      <c r="AC214" s="1902"/>
      <c r="AD214" s="1902"/>
      <c r="AE214" s="1902"/>
      <c r="AF214" s="1902"/>
      <c r="AG214" s="1902"/>
      <c r="AH214" s="863"/>
      <c r="AI214" s="863"/>
      <c r="AJ214" s="863"/>
      <c r="AK214" s="645"/>
    </row>
    <row r="215" spans="1:37">
      <c r="A215" s="640"/>
      <c r="B215" s="1940" t="s">
        <v>2735</v>
      </c>
      <c r="C215" s="1940"/>
      <c r="D215" s="1940"/>
      <c r="E215" s="1940"/>
      <c r="F215" s="1940"/>
      <c r="G215" s="1940"/>
      <c r="I215" s="1908">
        <v>8</v>
      </c>
      <c r="J215" s="1908"/>
      <c r="K215" s="1908"/>
      <c r="L215" s="1045"/>
      <c r="N215" s="1905">
        <v>702</v>
      </c>
      <c r="O215" s="1905"/>
      <c r="P215" s="1905"/>
      <c r="Q215" s="1905"/>
      <c r="R215" s="1905"/>
      <c r="T215" s="1904">
        <v>1362</v>
      </c>
      <c r="U215" s="1904"/>
      <c r="V215" s="1904"/>
      <c r="W215" s="1904"/>
      <c r="X215" s="1904"/>
      <c r="Y215" s="1904"/>
      <c r="Z215" s="887"/>
      <c r="AA215" s="887"/>
      <c r="AB215" s="1902">
        <f t="shared" si="0"/>
        <v>63360</v>
      </c>
      <c r="AC215" s="1902"/>
      <c r="AD215" s="1902"/>
      <c r="AE215" s="1902"/>
      <c r="AF215" s="1902"/>
      <c r="AG215" s="1902"/>
      <c r="AH215" s="863"/>
      <c r="AI215" s="863"/>
      <c r="AJ215" s="863"/>
      <c r="AK215" s="645"/>
    </row>
    <row r="216" spans="1:37">
      <c r="A216" s="640"/>
      <c r="B216" s="1940" t="s">
        <v>2735</v>
      </c>
      <c r="C216" s="1940"/>
      <c r="D216" s="1940"/>
      <c r="E216" s="1940"/>
      <c r="F216" s="1940"/>
      <c r="G216" s="1940"/>
      <c r="I216" s="1908">
        <v>3</v>
      </c>
      <c r="J216" s="1908"/>
      <c r="K216" s="1908"/>
      <c r="L216" s="1045"/>
      <c r="N216" s="1905">
        <v>702</v>
      </c>
      <c r="O216" s="1905"/>
      <c r="P216" s="1905"/>
      <c r="Q216" s="1905"/>
      <c r="R216" s="1905"/>
      <c r="T216" s="1904">
        <v>1362</v>
      </c>
      <c r="U216" s="1904"/>
      <c r="V216" s="1904"/>
      <c r="W216" s="1904"/>
      <c r="X216" s="1904"/>
      <c r="Y216" s="1904"/>
      <c r="Z216" s="887"/>
      <c r="AA216" s="887"/>
      <c r="AB216" s="1902">
        <f t="shared" si="0"/>
        <v>23760</v>
      </c>
      <c r="AC216" s="1902"/>
      <c r="AD216" s="1902"/>
      <c r="AE216" s="1902"/>
      <c r="AF216" s="1902"/>
      <c r="AG216" s="1902"/>
      <c r="AH216" s="863"/>
      <c r="AI216" s="863"/>
      <c r="AJ216" s="863"/>
      <c r="AK216" s="645"/>
    </row>
    <row r="217" spans="1:37">
      <c r="A217" s="640"/>
      <c r="B217" s="1940" t="s">
        <v>2736</v>
      </c>
      <c r="C217" s="1940"/>
      <c r="D217" s="1940"/>
      <c r="E217" s="1940"/>
      <c r="F217" s="1940"/>
      <c r="G217" s="1940"/>
      <c r="I217" s="1908">
        <v>5</v>
      </c>
      <c r="J217" s="1908"/>
      <c r="K217" s="1908"/>
      <c r="L217" s="1052"/>
      <c r="N217" s="1905">
        <v>810</v>
      </c>
      <c r="O217" s="1905"/>
      <c r="P217" s="1905"/>
      <c r="Q217" s="1905"/>
      <c r="R217" s="1905"/>
      <c r="T217" s="1904">
        <v>1937</v>
      </c>
      <c r="U217" s="1904"/>
      <c r="V217" s="1904"/>
      <c r="W217" s="1904"/>
      <c r="X217" s="1904"/>
      <c r="Y217" s="1904"/>
      <c r="Z217" s="887"/>
      <c r="AA217" s="887"/>
      <c r="AB217" s="1902">
        <f t="shared" si="0"/>
        <v>67620</v>
      </c>
      <c r="AC217" s="1902"/>
      <c r="AD217" s="1902"/>
      <c r="AE217" s="1902"/>
      <c r="AF217" s="1902"/>
      <c r="AG217" s="1902"/>
      <c r="AH217" s="863"/>
      <c r="AI217" s="863"/>
      <c r="AJ217" s="863"/>
      <c r="AK217" s="645"/>
    </row>
    <row r="218" spans="1:37">
      <c r="A218" s="640"/>
      <c r="B218" s="1940" t="s">
        <v>2736</v>
      </c>
      <c r="C218" s="1940"/>
      <c r="D218" s="1940"/>
      <c r="E218" s="1940"/>
      <c r="F218" s="1940"/>
      <c r="G218" s="1940"/>
      <c r="I218" s="1908">
        <v>2</v>
      </c>
      <c r="J218" s="1908"/>
      <c r="K218" s="1908"/>
      <c r="L218" s="1052"/>
      <c r="N218" s="1905">
        <v>810</v>
      </c>
      <c r="O218" s="1905"/>
      <c r="P218" s="1905"/>
      <c r="Q218" s="1905"/>
      <c r="R218" s="1905"/>
      <c r="T218" s="1904">
        <v>1937</v>
      </c>
      <c r="U218" s="1904"/>
      <c r="V218" s="1904"/>
      <c r="W218" s="1904"/>
      <c r="X218" s="1904"/>
      <c r="Y218" s="1904"/>
      <c r="Z218" s="887"/>
      <c r="AA218" s="887"/>
      <c r="AB218" s="1902">
        <f t="shared" si="0"/>
        <v>27048</v>
      </c>
      <c r="AC218" s="1902"/>
      <c r="AD218" s="1902"/>
      <c r="AE218" s="1902"/>
      <c r="AF218" s="1902"/>
      <c r="AG218" s="1902"/>
      <c r="AH218" s="863"/>
      <c r="AI218" s="863"/>
      <c r="AJ218" s="863"/>
      <c r="AK218" s="645"/>
    </row>
    <row r="219" spans="1:37">
      <c r="A219" s="640"/>
      <c r="B219" s="1940" t="s">
        <v>1327</v>
      </c>
      <c r="C219" s="1940"/>
      <c r="D219" s="1940"/>
      <c r="E219" s="1940"/>
      <c r="F219" s="1940"/>
      <c r="G219" s="1940"/>
      <c r="I219" s="1908"/>
      <c r="J219" s="1908"/>
      <c r="K219" s="1908"/>
      <c r="L219" s="1052"/>
      <c r="N219" s="1905"/>
      <c r="O219" s="1905"/>
      <c r="P219" s="1905"/>
      <c r="Q219" s="1905"/>
      <c r="R219" s="1905"/>
      <c r="T219" s="1904"/>
      <c r="U219" s="1904"/>
      <c r="V219" s="1904"/>
      <c r="W219" s="1904"/>
      <c r="X219" s="1904"/>
      <c r="Y219" s="1904"/>
      <c r="Z219" s="887"/>
      <c r="AA219" s="887"/>
      <c r="AB219" s="1902">
        <f t="shared" si="0"/>
        <v>0</v>
      </c>
      <c r="AC219" s="1902"/>
      <c r="AD219" s="1902"/>
      <c r="AE219" s="1902"/>
      <c r="AF219" s="1902"/>
      <c r="AG219" s="1902"/>
      <c r="AH219" s="863"/>
      <c r="AI219" s="863"/>
      <c r="AJ219" s="863"/>
      <c r="AK219" s="645"/>
    </row>
    <row r="220" spans="1:37">
      <c r="A220" s="640"/>
      <c r="B220" s="1940" t="s">
        <v>1327</v>
      </c>
      <c r="C220" s="1940"/>
      <c r="D220" s="1940"/>
      <c r="E220" s="1940"/>
      <c r="F220" s="1940"/>
      <c r="G220" s="1940"/>
      <c r="I220" s="1908"/>
      <c r="J220" s="1908"/>
      <c r="K220" s="1908"/>
      <c r="L220" s="1052"/>
      <c r="N220" s="1905"/>
      <c r="O220" s="1905"/>
      <c r="P220" s="1905"/>
      <c r="Q220" s="1905"/>
      <c r="R220" s="1905"/>
      <c r="T220" s="1904"/>
      <c r="U220" s="1904"/>
      <c r="V220" s="1904"/>
      <c r="W220" s="1904"/>
      <c r="X220" s="1904"/>
      <c r="Y220" s="1904"/>
      <c r="Z220" s="887"/>
      <c r="AA220" s="887"/>
      <c r="AB220" s="1902">
        <f t="shared" si="0"/>
        <v>0</v>
      </c>
      <c r="AC220" s="1902"/>
      <c r="AD220" s="1902"/>
      <c r="AE220" s="1902"/>
      <c r="AF220" s="1902"/>
      <c r="AG220" s="1902"/>
      <c r="AH220" s="863"/>
      <c r="AI220" s="863"/>
      <c r="AJ220" s="863"/>
      <c r="AK220" s="645"/>
    </row>
    <row r="221" spans="1:37">
      <c r="A221" s="640"/>
      <c r="B221" s="1940" t="s">
        <v>1327</v>
      </c>
      <c r="C221" s="1940"/>
      <c r="D221" s="1940"/>
      <c r="E221" s="1940"/>
      <c r="F221" s="1940"/>
      <c r="G221" s="1940"/>
      <c r="I221" s="1908"/>
      <c r="J221" s="1908"/>
      <c r="K221" s="1908"/>
      <c r="L221" s="1052"/>
      <c r="N221" s="1905"/>
      <c r="O221" s="1905"/>
      <c r="P221" s="1905"/>
      <c r="Q221" s="1905"/>
      <c r="R221" s="1905"/>
      <c r="T221" s="1904"/>
      <c r="U221" s="1904"/>
      <c r="V221" s="1904"/>
      <c r="W221" s="1904"/>
      <c r="X221" s="1904"/>
      <c r="Y221" s="1904"/>
      <c r="Z221" s="887"/>
      <c r="AA221" s="887"/>
      <c r="AB221" s="1902">
        <f t="shared" si="0"/>
        <v>0</v>
      </c>
      <c r="AC221" s="1902"/>
      <c r="AD221" s="1902"/>
      <c r="AE221" s="1902"/>
      <c r="AF221" s="1902"/>
      <c r="AG221" s="1902"/>
      <c r="AH221" s="863"/>
      <c r="AI221" s="863"/>
      <c r="AJ221" s="863"/>
      <c r="AK221" s="645"/>
    </row>
    <row r="222" spans="1:37">
      <c r="A222" s="640"/>
      <c r="B222" s="1940" t="s">
        <v>1327</v>
      </c>
      <c r="C222" s="1940"/>
      <c r="D222" s="1940"/>
      <c r="E222" s="1940"/>
      <c r="F222" s="1940"/>
      <c r="G222" s="1940"/>
      <c r="I222" s="2088"/>
      <c r="J222" s="2088"/>
      <c r="K222" s="2088"/>
      <c r="L222" s="1052"/>
      <c r="N222" s="1905"/>
      <c r="O222" s="1905"/>
      <c r="P222" s="1905"/>
      <c r="Q222" s="1905"/>
      <c r="R222" s="1905"/>
      <c r="T222" s="1904"/>
      <c r="U222" s="1904"/>
      <c r="V222" s="1904"/>
      <c r="W222" s="1904"/>
      <c r="X222" s="1904"/>
      <c r="Y222" s="1904"/>
      <c r="Z222" s="887"/>
      <c r="AA222" s="887"/>
      <c r="AB222" s="1909">
        <f t="shared" si="0"/>
        <v>0</v>
      </c>
      <c r="AC222" s="1909"/>
      <c r="AD222" s="1909"/>
      <c r="AE222" s="1909"/>
      <c r="AF222" s="1909"/>
      <c r="AG222" s="190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02">
        <f>SUM(AB213:AB222)</f>
        <v>219588</v>
      </c>
      <c r="AC223" s="1902"/>
      <c r="AD223" s="1902"/>
      <c r="AE223" s="1902"/>
      <c r="AF223" s="1902"/>
      <c r="AG223" s="190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42"/>
      <c r="AC229" s="1942"/>
      <c r="AD229" s="1942"/>
      <c r="AE229" s="1942"/>
      <c r="AF229" s="1942"/>
      <c r="AG229" s="1942"/>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42"/>
      <c r="AC232" s="1942"/>
      <c r="AD232" s="1942"/>
      <c r="AE232" s="1942"/>
      <c r="AF232" s="1942"/>
      <c r="AG232" s="1942"/>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01"/>
      <c r="AC233" s="1901"/>
      <c r="AD233" s="1901"/>
      <c r="AE233" s="1901"/>
      <c r="AF233" s="1901"/>
      <c r="AG233" s="1901"/>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10">
        <f>IFERROR(AB232/AB233,0)</f>
        <v>0</v>
      </c>
      <c r="AC234" s="1910"/>
      <c r="AD234" s="1910"/>
      <c r="AE234" s="1910"/>
      <c r="AF234" s="1910"/>
      <c r="AG234" s="191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9">
        <f>MAX(AB229,AB234)</f>
        <v>0</v>
      </c>
      <c r="AC236" s="1909"/>
      <c r="AD236" s="1909"/>
      <c r="AE236" s="1909"/>
      <c r="AF236" s="1909"/>
      <c r="AG236" s="190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02">
        <f>AB223+AB236</f>
        <v>219588</v>
      </c>
      <c r="AC239" s="1902"/>
      <c r="AD239" s="1902"/>
      <c r="AE239" s="1902"/>
      <c r="AF239" s="1902"/>
      <c r="AG239" s="1902"/>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72">
        <v>0.05</v>
      </c>
      <c r="AC240" s="2072"/>
      <c r="AD240" s="2072"/>
      <c r="AE240" s="2072"/>
      <c r="AF240" s="2072"/>
      <c r="AG240" s="2072"/>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73">
        <f>AB239-(AB239*AB240)</f>
        <v>208608.6</v>
      </c>
      <c r="AC241" s="2073"/>
      <c r="AD241" s="2073"/>
      <c r="AE241" s="2073"/>
      <c r="AF241" s="2073"/>
      <c r="AG241" s="2073"/>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02">
        <f>AB241/AB247</f>
        <v>181398.78260869568</v>
      </c>
      <c r="AC243" s="1902"/>
      <c r="AD243" s="1902"/>
      <c r="AE243" s="1902"/>
      <c r="AF243" s="1902"/>
      <c r="AG243" s="190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4">
        <v>15</v>
      </c>
      <c r="AC245" s="2084"/>
      <c r="AD245" s="2084"/>
      <c r="AE245" s="2084"/>
      <c r="AF245" s="2084"/>
      <c r="AG245" s="2084"/>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5">
        <v>0.04</v>
      </c>
      <c r="AC246" s="2075"/>
      <c r="AD246" s="2075"/>
      <c r="AE246" s="2075"/>
      <c r="AF246" s="2075"/>
      <c r="AG246" s="2075"/>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6">
        <v>1.1499999999999999</v>
      </c>
      <c r="AC247" s="2076"/>
      <c r="AD247" s="2076"/>
      <c r="AE247" s="2076"/>
      <c r="AF247" s="2076"/>
      <c r="AG247" s="207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5">
        <f>PV(AB246/12,AB245*12,-AB243/12, ,0)</f>
        <v>2043640.9320782553</v>
      </c>
      <c r="AC249" s="2066"/>
      <c r="AD249" s="2066"/>
      <c r="AE249" s="2066"/>
      <c r="AF249" s="2066"/>
      <c r="AG249" s="206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9">
        <f>IFERROR(('Sources and Uses Budget'!D105/'Sources and Uses Budget'!B105),0)</f>
        <v>0</v>
      </c>
      <c r="AC255" s="2070"/>
      <c r="AD255" s="2070"/>
      <c r="AE255" s="2070"/>
      <c r="AF255" s="2070"/>
      <c r="AG255" s="207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6">
        <f>AD200*(1-AB255)</f>
        <v>16486326.932078255</v>
      </c>
      <c r="AH257" s="1916"/>
      <c r="AI257" s="1916"/>
      <c r="AJ257" s="1916"/>
      <c r="AK257" s="1916"/>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6">
        <f>'Sources and Uses Budget'!C105</f>
        <v>44036817</v>
      </c>
      <c r="AH258" s="1916"/>
      <c r="AI258" s="1916"/>
      <c r="AJ258" s="1916"/>
      <c r="AK258" s="191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61">
        <f>ROUNDDOWN(IF(AND(C281="Yes",AK78=10),((AG257*2)/AG258),AG257/AG258),2)</f>
        <v>0.74</v>
      </c>
      <c r="AH259" s="2061"/>
      <c r="AI259" s="2061"/>
      <c r="AJ259" s="2061"/>
      <c r="AK259" s="2061"/>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50">
        <f>IFERROR(IF(AG259=0,0,IF((AG259*100)&gt;8,8,(AG259*100))),0)</f>
        <v>8</v>
      </c>
      <c r="AL262" s="2050"/>
      <c r="AM262" s="2051"/>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34" t="s">
        <v>555</v>
      </c>
      <c r="D267" s="1934"/>
      <c r="E267" s="582"/>
      <c r="F267" s="1885" t="s">
        <v>2423</v>
      </c>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7"/>
      <c r="AE267" s="585"/>
      <c r="AF267" s="670"/>
      <c r="AG267" s="2059" t="s">
        <v>1536</v>
      </c>
      <c r="AH267" s="2059"/>
      <c r="AI267" s="2059"/>
      <c r="AJ267" s="2059"/>
      <c r="AK267" s="585"/>
      <c r="AL267" s="585"/>
      <c r="AM267" s="585"/>
      <c r="AO267" s="585"/>
    </row>
    <row r="268" spans="1:52" ht="13.7" customHeight="1">
      <c r="A268" s="585"/>
      <c r="B268" s="631"/>
      <c r="C268" s="671"/>
      <c r="D268" s="585"/>
      <c r="E268" s="582"/>
      <c r="F268" s="1888"/>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90"/>
      <c r="AE268" s="585"/>
      <c r="AF268" s="670"/>
      <c r="AG268" s="670"/>
      <c r="AH268" s="670"/>
      <c r="AI268" s="670"/>
      <c r="AJ268" s="585"/>
      <c r="AK268" s="585"/>
      <c r="AL268" s="585"/>
      <c r="AM268" s="585"/>
      <c r="AO268" s="585"/>
    </row>
    <row r="269" spans="1:52">
      <c r="A269" s="585"/>
      <c r="B269" s="631"/>
      <c r="C269" s="671"/>
      <c r="D269" s="585"/>
      <c r="E269" s="582"/>
      <c r="F269" s="1888"/>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90"/>
      <c r="AE269" s="585"/>
      <c r="AF269" s="670"/>
      <c r="AG269" s="670"/>
      <c r="AH269" s="670"/>
      <c r="AI269" s="670"/>
      <c r="AJ269" s="585"/>
      <c r="AK269" s="585"/>
      <c r="AL269" s="585"/>
      <c r="AM269" s="585"/>
      <c r="AO269" s="585"/>
      <c r="AP269" s="672"/>
    </row>
    <row r="270" spans="1:52">
      <c r="A270" s="585"/>
      <c r="B270" s="631"/>
      <c r="C270" s="671"/>
      <c r="D270" s="585"/>
      <c r="E270" s="582"/>
      <c r="F270" s="1888"/>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90"/>
      <c r="AE270" s="585"/>
      <c r="AF270" s="670"/>
      <c r="AG270" s="670"/>
      <c r="AH270" s="670"/>
      <c r="AI270" s="670"/>
      <c r="AJ270" s="585"/>
      <c r="AK270" s="585"/>
      <c r="AL270" s="585"/>
      <c r="AM270" s="585"/>
      <c r="AO270" s="585"/>
      <c r="AP270" s="672"/>
    </row>
    <row r="271" spans="1:52" ht="13.7" customHeight="1">
      <c r="A271" s="585"/>
      <c r="B271" s="631"/>
      <c r="C271" s="2060"/>
      <c r="D271" s="2060"/>
      <c r="E271" s="582"/>
      <c r="F271" s="1891"/>
      <c r="G271" s="1892"/>
      <c r="H271" s="1892"/>
      <c r="I271" s="1892"/>
      <c r="J271" s="1892"/>
      <c r="K271" s="1892"/>
      <c r="L271" s="1892"/>
      <c r="M271" s="1892"/>
      <c r="N271" s="1892"/>
      <c r="O271" s="1892"/>
      <c r="P271" s="1892"/>
      <c r="Q271" s="1892"/>
      <c r="R271" s="1892"/>
      <c r="S271" s="1892"/>
      <c r="T271" s="1892"/>
      <c r="U271" s="1892"/>
      <c r="V271" s="1892"/>
      <c r="W271" s="1892"/>
      <c r="X271" s="1892"/>
      <c r="Y271" s="1892"/>
      <c r="Z271" s="1892"/>
      <c r="AA271" s="1892"/>
      <c r="AB271" s="1892"/>
      <c r="AC271" s="1892"/>
      <c r="AD271" s="1893"/>
      <c r="AE271" s="585"/>
      <c r="AF271" s="670"/>
      <c r="AG271" s="2059"/>
      <c r="AH271" s="2059"/>
      <c r="AI271" s="2059"/>
      <c r="AJ271" s="2059"/>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50">
        <f>IF($C$267="yes",10,0)</f>
        <v>10</v>
      </c>
      <c r="AL274" s="2050"/>
      <c r="AM274" s="2051"/>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8" t="s">
        <v>1555</v>
      </c>
      <c r="B281" s="1638"/>
      <c r="C281" s="2027" t="s">
        <v>555</v>
      </c>
      <c r="D281" s="1934"/>
      <c r="E281" s="582"/>
      <c r="F281" s="2052" t="s">
        <v>1556</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7"/>
      <c r="AF281" s="585"/>
      <c r="AG281" s="2055" t="s">
        <v>2416</v>
      </c>
      <c r="AH281" s="2055"/>
      <c r="AI281" s="2055"/>
      <c r="AJ281" s="2055"/>
      <c r="AK281" s="2055"/>
      <c r="AL281" s="585"/>
      <c r="AM281" s="585"/>
      <c r="AN281" s="73"/>
      <c r="AO281" s="14"/>
      <c r="AP281" s="30"/>
      <c r="AS281" s="605"/>
      <c r="AT281" s="605"/>
      <c r="AU281" s="605"/>
      <c r="AV281" s="32"/>
      <c r="AW281" s="32"/>
    </row>
    <row r="282" spans="1:49">
      <c r="A282" s="675"/>
      <c r="B282" s="631"/>
      <c r="F282" s="1911"/>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3"/>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11"/>
      <c r="G283" s="1912"/>
      <c r="H283" s="1912"/>
      <c r="I283" s="1912"/>
      <c r="J283" s="1912"/>
      <c r="K283" s="1912"/>
      <c r="L283" s="1912"/>
      <c r="M283" s="1912"/>
      <c r="N283" s="1912"/>
      <c r="O283" s="1912"/>
      <c r="P283" s="1912"/>
      <c r="Q283" s="1912"/>
      <c r="R283" s="1912"/>
      <c r="S283" s="1912"/>
      <c r="T283" s="1912"/>
      <c r="U283" s="1912"/>
      <c r="V283" s="1912"/>
      <c r="W283" s="1912"/>
      <c r="X283" s="1912"/>
      <c r="Y283" s="1912"/>
      <c r="Z283" s="1912"/>
      <c r="AA283" s="1912"/>
      <c r="AB283" s="1912"/>
      <c r="AC283" s="1912"/>
      <c r="AD283" s="191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11" t="s">
        <v>2424</v>
      </c>
      <c r="G284" s="1912"/>
      <c r="H284" s="1912"/>
      <c r="I284" s="1912"/>
      <c r="J284" s="1912"/>
      <c r="K284" s="1912"/>
      <c r="L284" s="1912"/>
      <c r="M284" s="1912"/>
      <c r="N284" s="1912"/>
      <c r="O284" s="1912"/>
      <c r="P284" s="1912"/>
      <c r="Q284" s="1912"/>
      <c r="R284" s="1912"/>
      <c r="S284" s="1912"/>
      <c r="T284" s="1912"/>
      <c r="U284" s="1912"/>
      <c r="V284" s="1912"/>
      <c r="W284" s="1912"/>
      <c r="X284" s="1912"/>
      <c r="Y284" s="1912"/>
      <c r="Z284" s="1912"/>
      <c r="AA284" s="1912"/>
      <c r="AB284" s="1912"/>
      <c r="AC284" s="1912"/>
      <c r="AD284" s="1913"/>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911"/>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11" t="s">
        <v>1557</v>
      </c>
      <c r="G286" s="1912"/>
      <c r="H286" s="1912"/>
      <c r="I286" s="1912"/>
      <c r="J286" s="1912"/>
      <c r="K286" s="1912"/>
      <c r="L286" s="1912"/>
      <c r="M286" s="1912"/>
      <c r="N286" s="1912"/>
      <c r="O286" s="1912"/>
      <c r="P286" s="1912"/>
      <c r="Q286" s="1912"/>
      <c r="R286" s="1912"/>
      <c r="S286" s="1912"/>
      <c r="T286" s="1912"/>
      <c r="U286" s="1912"/>
      <c r="V286" s="1912"/>
      <c r="W286" s="1912"/>
      <c r="X286" s="1912"/>
      <c r="Y286" s="1912"/>
      <c r="Z286" s="1912"/>
      <c r="AA286" s="1912"/>
      <c r="AB286" s="1912"/>
      <c r="AC286" s="1912"/>
      <c r="AD286" s="191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11"/>
      <c r="G287" s="1912"/>
      <c r="H287" s="1912"/>
      <c r="I287" s="1912"/>
      <c r="J287" s="1912"/>
      <c r="K287" s="1912"/>
      <c r="L287" s="1912"/>
      <c r="M287" s="1912"/>
      <c r="N287" s="1912"/>
      <c r="O287" s="1912"/>
      <c r="P287" s="1912"/>
      <c r="Q287" s="1912"/>
      <c r="R287" s="1912"/>
      <c r="S287" s="1912"/>
      <c r="T287" s="1912"/>
      <c r="U287" s="1912"/>
      <c r="V287" s="1912"/>
      <c r="W287" s="1912"/>
      <c r="X287" s="1912"/>
      <c r="Y287" s="1912"/>
      <c r="Z287" s="1912"/>
      <c r="AA287" s="1912"/>
      <c r="AB287" s="1912"/>
      <c r="AC287" s="1912"/>
      <c r="AD287" s="191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11" t="s">
        <v>1558</v>
      </c>
      <c r="G288" s="1912"/>
      <c r="H288" s="1912"/>
      <c r="I288" s="1912"/>
      <c r="J288" s="1912"/>
      <c r="K288" s="1912"/>
      <c r="L288" s="1912"/>
      <c r="M288" s="1912"/>
      <c r="N288" s="1912"/>
      <c r="O288" s="1912"/>
      <c r="P288" s="1912"/>
      <c r="Q288" s="1912"/>
      <c r="R288" s="1912"/>
      <c r="S288" s="1912"/>
      <c r="T288" s="1912"/>
      <c r="U288" s="1912"/>
      <c r="V288" s="1912"/>
      <c r="W288" s="1912"/>
      <c r="X288" s="1912"/>
      <c r="Y288" s="1912"/>
      <c r="Z288" s="1912"/>
      <c r="AA288" s="1912"/>
      <c r="AB288" s="1912"/>
      <c r="AC288" s="1912"/>
      <c r="AD288" s="191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4"/>
      <c r="G289" s="1915"/>
      <c r="H289" s="1915"/>
      <c r="I289" s="1915"/>
      <c r="J289" s="1915"/>
      <c r="K289" s="1915"/>
      <c r="L289" s="1915"/>
      <c r="M289" s="1915"/>
      <c r="N289" s="1915"/>
      <c r="O289" s="1915"/>
      <c r="P289" s="1915"/>
      <c r="Q289" s="1915"/>
      <c r="R289" s="1915"/>
      <c r="S289" s="1915"/>
      <c r="T289" s="1915"/>
      <c r="U289" s="1915"/>
      <c r="V289" s="1915"/>
      <c r="W289" s="1915"/>
      <c r="X289" s="1915"/>
      <c r="Y289" s="1915"/>
      <c r="Z289" s="1915"/>
      <c r="AA289" s="1915"/>
      <c r="AB289" s="1915"/>
      <c r="AC289" s="1915"/>
      <c r="AD289" s="204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8" t="s">
        <v>1559</v>
      </c>
      <c r="B291" s="1638"/>
      <c r="C291" s="1934" t="s">
        <v>601</v>
      </c>
      <c r="D291" s="1934"/>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34" t="s">
        <v>2418</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6"/>
      <c r="AF292" s="586"/>
      <c r="AG292" s="586"/>
      <c r="AH292" s="586"/>
      <c r="AI292" s="586"/>
      <c r="AJ292" s="585"/>
      <c r="AK292" s="585"/>
      <c r="AL292" s="585"/>
      <c r="AM292" s="585"/>
      <c r="AR292" s="683"/>
    </row>
    <row r="293" spans="1:49" ht="15" customHeight="1">
      <c r="A293" s="585"/>
      <c r="B293" s="586"/>
      <c r="C293" s="585"/>
      <c r="D293" s="586"/>
      <c r="E293" s="585"/>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6"/>
      <c r="AF293" s="586"/>
      <c r="AG293" s="586"/>
      <c r="AH293" s="586"/>
      <c r="AI293" s="586"/>
      <c r="AJ293" s="585"/>
      <c r="AK293" s="585"/>
      <c r="AL293" s="585"/>
      <c r="AM293" s="585"/>
      <c r="AR293" s="683"/>
    </row>
    <row r="294" spans="1:49">
      <c r="A294" s="585"/>
      <c r="B294" s="586"/>
      <c r="C294" s="585"/>
      <c r="D294" s="586"/>
      <c r="E294" s="585"/>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8" t="s">
        <v>1562</v>
      </c>
      <c r="B299" s="1638"/>
      <c r="C299" s="1934" t="s">
        <v>601</v>
      </c>
      <c r="D299" s="1934"/>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11" t="s">
        <v>2425</v>
      </c>
      <c r="G300" s="1912"/>
      <c r="H300" s="1912"/>
      <c r="I300" s="1912"/>
      <c r="J300" s="1912"/>
      <c r="K300" s="1912"/>
      <c r="L300" s="1912"/>
      <c r="M300" s="1912"/>
      <c r="N300" s="1912"/>
      <c r="O300" s="1912"/>
      <c r="P300" s="1912"/>
      <c r="Q300" s="1912"/>
      <c r="R300" s="1912"/>
      <c r="S300" s="1912"/>
      <c r="T300" s="1912"/>
      <c r="U300" s="1912"/>
      <c r="V300" s="1912"/>
      <c r="W300" s="1912"/>
      <c r="X300" s="1912"/>
      <c r="Y300" s="1912"/>
      <c r="Z300" s="1912"/>
      <c r="AA300" s="1912"/>
      <c r="AB300" s="1912"/>
      <c r="AC300" s="1912"/>
      <c r="AD300" s="1913"/>
      <c r="AE300" s="586"/>
      <c r="AF300" s="586"/>
      <c r="AG300" s="574"/>
      <c r="AH300" s="586"/>
      <c r="AI300" s="586"/>
      <c r="AJ300" s="585"/>
      <c r="AK300" s="585"/>
      <c r="AL300" s="585"/>
      <c r="AM300" s="585"/>
      <c r="AN300" s="73"/>
      <c r="AO300" s="14"/>
      <c r="AP300" s="592" t="s">
        <v>1327</v>
      </c>
    </row>
    <row r="301" spans="1:49" hidden="1">
      <c r="F301" s="1911"/>
      <c r="G301" s="1912"/>
      <c r="H301" s="1912"/>
      <c r="I301" s="1912"/>
      <c r="J301" s="1912"/>
      <c r="K301" s="1912"/>
      <c r="L301" s="1912"/>
      <c r="M301" s="1912"/>
      <c r="N301" s="1912"/>
      <c r="O301" s="1912"/>
      <c r="P301" s="1912"/>
      <c r="Q301" s="1912"/>
      <c r="R301" s="1912"/>
      <c r="S301" s="1912"/>
      <c r="T301" s="1912"/>
      <c r="U301" s="1912"/>
      <c r="V301" s="1912"/>
      <c r="W301" s="1912"/>
      <c r="X301" s="1912"/>
      <c r="Y301" s="1912"/>
      <c r="Z301" s="1912"/>
      <c r="AA301" s="1912"/>
      <c r="AB301" s="1912"/>
      <c r="AC301" s="1912"/>
      <c r="AD301" s="1913"/>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7" t="s">
        <v>1327</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7"/>
      <c r="AF305" s="677"/>
      <c r="AG305" s="677"/>
      <c r="AH305" s="677"/>
      <c r="AI305" s="677"/>
      <c r="AJ305" s="677"/>
      <c r="AK305" s="677"/>
      <c r="AL305" s="585"/>
      <c r="AM305" s="585"/>
      <c r="AN305" s="73"/>
      <c r="AO305" s="14"/>
      <c r="AP305" s="30"/>
    </row>
    <row r="306" spans="1:42" hidden="1">
      <c r="A306" s="585"/>
      <c r="B306" s="586"/>
      <c r="C306" s="765"/>
      <c r="D306" s="765"/>
      <c r="E306" s="582"/>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6"/>
      <c r="AF306" s="586"/>
      <c r="AG306" s="574"/>
      <c r="AH306" s="586"/>
      <c r="AI306" s="586"/>
      <c r="AJ306" s="585"/>
      <c r="AK306" s="585"/>
      <c r="AL306" s="585"/>
      <c r="AM306" s="585"/>
      <c r="AN306" s="73"/>
      <c r="AO306" s="14"/>
      <c r="AP306" s="30"/>
    </row>
    <row r="307" spans="1:42" hidden="1">
      <c r="A307" s="585"/>
      <c r="B307" s="586"/>
      <c r="C307" s="765"/>
      <c r="D307" s="765"/>
      <c r="E307" s="582"/>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6"/>
      <c r="AF307" s="586"/>
      <c r="AG307" s="574"/>
      <c r="AH307" s="586"/>
      <c r="AI307" s="586"/>
      <c r="AJ307" s="585"/>
      <c r="AK307" s="585"/>
      <c r="AL307" s="585"/>
      <c r="AM307" s="585"/>
      <c r="AN307" s="73"/>
      <c r="AO307" s="14"/>
      <c r="AP307" s="30"/>
    </row>
    <row r="308" spans="1:42" hidden="1">
      <c r="A308" s="585"/>
      <c r="B308" s="586"/>
      <c r="C308" s="765"/>
      <c r="D308" s="765"/>
      <c r="E308" s="582"/>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6"/>
      <c r="AF308" s="586"/>
      <c r="AG308" s="574"/>
      <c r="AH308" s="586"/>
      <c r="AI308" s="586"/>
      <c r="AJ308" s="585"/>
      <c r="AK308" s="585"/>
      <c r="AL308" s="585"/>
      <c r="AM308" s="585"/>
      <c r="AN308" s="73"/>
      <c r="AO308" s="14"/>
      <c r="AP308" s="30"/>
    </row>
    <row r="309" spans="1:42" hidden="1">
      <c r="A309" s="585"/>
      <c r="B309" s="586"/>
      <c r="C309" s="765"/>
      <c r="D309" s="765"/>
      <c r="E309" s="582"/>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698</v>
      </c>
      <c r="H313" s="610"/>
      <c r="I313" s="2043" t="s">
        <v>1327</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43" t="s">
        <v>1327</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38" t="s">
        <v>1565</v>
      </c>
      <c r="B322" s="1638"/>
      <c r="C322" s="1934" t="s">
        <v>601</v>
      </c>
      <c r="D322" s="1934"/>
      <c r="E322" s="582"/>
      <c r="F322" s="2031" t="s">
        <v>2426</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6"/>
      <c r="AF323" s="586"/>
      <c r="AG323" s="586"/>
      <c r="AH323" s="586"/>
      <c r="AI323" s="586"/>
      <c r="AJ323" s="585"/>
      <c r="AK323" s="585"/>
      <c r="AL323" s="585"/>
      <c r="AM323" s="585"/>
      <c r="AN323" s="73"/>
      <c r="AO323" s="14"/>
    </row>
    <row r="324" spans="1:44" ht="15" hidden="1" customHeight="1">
      <c r="A324" s="585"/>
      <c r="B324" s="586"/>
      <c r="C324" s="586"/>
      <c r="D324" s="586"/>
      <c r="E324" s="586"/>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19">
        <f>IF(NOT(OR(Application!M354="Yes",Application!M355="Yes")),0,AP284)</f>
        <v>10</v>
      </c>
      <c r="AL327" s="1920"/>
      <c r="AM327" s="192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25" t="s">
        <v>1487</v>
      </c>
      <c r="AF330" s="1925"/>
      <c r="AG330" s="1925"/>
      <c r="AH330" s="1925"/>
      <c r="AI330" s="1925"/>
      <c r="AJ330" s="1925"/>
      <c r="AK330" s="192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9" t="s">
        <v>1627</v>
      </c>
      <c r="D332" s="1929"/>
      <c r="E332" s="1929"/>
      <c r="F332" s="1929"/>
      <c r="G332" s="1929"/>
      <c r="H332" s="1929"/>
      <c r="I332" s="1929"/>
      <c r="J332" s="1929"/>
      <c r="K332" s="1929"/>
      <c r="L332" s="1929"/>
      <c r="M332" s="1929"/>
      <c r="N332" s="1929"/>
      <c r="O332" s="1929"/>
      <c r="P332" s="1929"/>
      <c r="Q332" s="1929"/>
      <c r="R332" s="1929"/>
      <c r="S332" s="1929"/>
      <c r="T332" s="1929"/>
      <c r="U332" s="1929"/>
      <c r="V332" s="1929"/>
      <c r="W332" s="1929"/>
      <c r="X332" s="1929"/>
      <c r="Y332" s="1929"/>
      <c r="Z332" s="1929"/>
      <c r="AA332" s="1929"/>
      <c r="AB332" s="1929"/>
      <c r="AC332" s="1929"/>
      <c r="AD332" s="1929"/>
      <c r="AE332" s="1929"/>
      <c r="AF332" s="1929"/>
      <c r="AG332" s="1929"/>
      <c r="AH332" s="1929"/>
      <c r="AI332" s="1929"/>
      <c r="AJ332" s="1929"/>
      <c r="AK332" s="638"/>
      <c r="AL332" s="638"/>
      <c r="AM332" s="638"/>
      <c r="AN332" s="632"/>
    </row>
    <row r="333" spans="1:44" s="585" customFormat="1" ht="12.75" customHeight="1">
      <c r="A333" s="638"/>
      <c r="B333" s="646"/>
      <c r="C333" s="1929"/>
      <c r="D333" s="1929"/>
      <c r="E333" s="1929"/>
      <c r="F333" s="1929"/>
      <c r="G333" s="1929"/>
      <c r="H333" s="1929"/>
      <c r="I333" s="1929"/>
      <c r="J333" s="1929"/>
      <c r="K333" s="1929"/>
      <c r="L333" s="1929"/>
      <c r="M333" s="1929"/>
      <c r="N333" s="1929"/>
      <c r="O333" s="1929"/>
      <c r="P333" s="1929"/>
      <c r="Q333" s="1929"/>
      <c r="R333" s="1929"/>
      <c r="S333" s="1929"/>
      <c r="T333" s="1929"/>
      <c r="U333" s="1929"/>
      <c r="V333" s="1929"/>
      <c r="W333" s="1929"/>
      <c r="X333" s="1929"/>
      <c r="Y333" s="1929"/>
      <c r="Z333" s="1929"/>
      <c r="AA333" s="1929"/>
      <c r="AB333" s="1929"/>
      <c r="AC333" s="1929"/>
      <c r="AD333" s="1929"/>
      <c r="AE333" s="1929"/>
      <c r="AF333" s="1929"/>
      <c r="AG333" s="1929"/>
      <c r="AH333" s="1929"/>
      <c r="AI333" s="1929"/>
      <c r="AJ333" s="1929"/>
      <c r="AK333" s="638"/>
      <c r="AL333" s="638"/>
      <c r="AM333" s="638"/>
      <c r="AN333" s="632"/>
    </row>
    <row r="334" spans="1:44" s="585" customFormat="1" ht="12.75" customHeight="1">
      <c r="A334" s="638"/>
      <c r="B334" s="646"/>
      <c r="C334" s="1929"/>
      <c r="D334" s="1929"/>
      <c r="E334" s="1929"/>
      <c r="F334" s="1929"/>
      <c r="G334" s="1929"/>
      <c r="H334" s="1929"/>
      <c r="I334" s="1929"/>
      <c r="J334" s="1929"/>
      <c r="K334" s="1929"/>
      <c r="L334" s="1929"/>
      <c r="M334" s="1929"/>
      <c r="N334" s="1929"/>
      <c r="O334" s="1929"/>
      <c r="P334" s="1929"/>
      <c r="Q334" s="1929"/>
      <c r="R334" s="1929"/>
      <c r="S334" s="1929"/>
      <c r="T334" s="1929"/>
      <c r="U334" s="1929"/>
      <c r="V334" s="1929"/>
      <c r="W334" s="1929"/>
      <c r="X334" s="1929"/>
      <c r="Y334" s="1929"/>
      <c r="Z334" s="1929"/>
      <c r="AA334" s="1929"/>
      <c r="AB334" s="1929"/>
      <c r="AC334" s="1929"/>
      <c r="AD334" s="1929"/>
      <c r="AE334" s="1929"/>
      <c r="AF334" s="1929"/>
      <c r="AG334" s="1929"/>
      <c r="AH334" s="1929"/>
      <c r="AI334" s="1929"/>
      <c r="AJ334" s="1929"/>
      <c r="AK334" s="638"/>
      <c r="AL334" s="638"/>
      <c r="AM334" s="638"/>
      <c r="AN334" s="632"/>
      <c r="AQ334" s="605"/>
    </row>
    <row r="335" spans="1:44" s="585" customFormat="1" ht="12.75" customHeight="1">
      <c r="A335" s="638"/>
      <c r="B335" s="646"/>
      <c r="C335" s="1929"/>
      <c r="D335" s="1929"/>
      <c r="E335" s="1929"/>
      <c r="F335" s="1929"/>
      <c r="G335" s="1929"/>
      <c r="H335" s="1929"/>
      <c r="I335" s="1929"/>
      <c r="J335" s="1929"/>
      <c r="K335" s="1929"/>
      <c r="L335" s="1929"/>
      <c r="M335" s="1929"/>
      <c r="N335" s="1929"/>
      <c r="O335" s="1929"/>
      <c r="P335" s="1929"/>
      <c r="Q335" s="1929"/>
      <c r="R335" s="1929"/>
      <c r="S335" s="1929"/>
      <c r="T335" s="1929"/>
      <c r="U335" s="1929"/>
      <c r="V335" s="1929"/>
      <c r="W335" s="1929"/>
      <c r="X335" s="1929"/>
      <c r="Y335" s="1929"/>
      <c r="Z335" s="1929"/>
      <c r="AA335" s="1929"/>
      <c r="AB335" s="1929"/>
      <c r="AC335" s="1929"/>
      <c r="AD335" s="1929"/>
      <c r="AE335" s="1929"/>
      <c r="AF335" s="1929"/>
      <c r="AG335" s="1929"/>
      <c r="AH335" s="1929"/>
      <c r="AI335" s="1929"/>
      <c r="AJ335" s="1929"/>
      <c r="AK335" s="638"/>
      <c r="AL335" s="638"/>
      <c r="AM335" s="638"/>
      <c r="AN335" s="632"/>
      <c r="AQ335" s="605"/>
    </row>
    <row r="336" spans="1:44" s="585" customFormat="1" ht="12.4" customHeight="1">
      <c r="A336" s="638"/>
      <c r="B336" s="646"/>
      <c r="C336" s="1929"/>
      <c r="D336" s="1929"/>
      <c r="E336" s="1929"/>
      <c r="F336" s="1929"/>
      <c r="G336" s="1929"/>
      <c r="H336" s="1929"/>
      <c r="I336" s="1929"/>
      <c r="J336" s="1929"/>
      <c r="K336" s="1929"/>
      <c r="L336" s="1929"/>
      <c r="M336" s="1929"/>
      <c r="N336" s="1929"/>
      <c r="O336" s="1929"/>
      <c r="P336" s="1929"/>
      <c r="Q336" s="1929"/>
      <c r="R336" s="1929"/>
      <c r="S336" s="1929"/>
      <c r="T336" s="1929"/>
      <c r="U336" s="1929"/>
      <c r="V336" s="1929"/>
      <c r="W336" s="1929"/>
      <c r="X336" s="1929"/>
      <c r="Y336" s="1929"/>
      <c r="Z336" s="1929"/>
      <c r="AA336" s="1929"/>
      <c r="AB336" s="1929"/>
      <c r="AC336" s="1929"/>
      <c r="AD336" s="1929"/>
      <c r="AE336" s="1929"/>
      <c r="AF336" s="1929"/>
      <c r="AG336" s="1929"/>
      <c r="AH336" s="1929"/>
      <c r="AI336" s="1929"/>
      <c r="AJ336" s="1929"/>
      <c r="AK336" s="638"/>
      <c r="AL336" s="638"/>
      <c r="AM336" s="638"/>
      <c r="AN336" s="632"/>
      <c r="AQ336" s="605"/>
      <c r="AR336" s="605"/>
    </row>
    <row r="337" spans="1:46" s="585" customFormat="1" ht="45.75" customHeight="1">
      <c r="A337" s="638"/>
      <c r="B337" s="646"/>
      <c r="C337" s="1929" t="s">
        <v>2513</v>
      </c>
      <c r="D337" s="1929"/>
      <c r="E337" s="1929"/>
      <c r="F337" s="1929"/>
      <c r="G337" s="1929"/>
      <c r="H337" s="1929"/>
      <c r="I337" s="1929"/>
      <c r="J337" s="1929"/>
      <c r="K337" s="1929"/>
      <c r="L337" s="1929"/>
      <c r="M337" s="1929"/>
      <c r="N337" s="1929"/>
      <c r="O337" s="1929"/>
      <c r="P337" s="1929"/>
      <c r="Q337" s="1929"/>
      <c r="R337" s="1929"/>
      <c r="S337" s="1929"/>
      <c r="T337" s="1929"/>
      <c r="U337" s="1929"/>
      <c r="V337" s="1929"/>
      <c r="W337" s="1929"/>
      <c r="X337" s="1929"/>
      <c r="Y337" s="1929"/>
      <c r="Z337" s="1929"/>
      <c r="AA337" s="1929"/>
      <c r="AB337" s="1929"/>
      <c r="AC337" s="1929"/>
      <c r="AD337" s="1929"/>
      <c r="AE337" s="1929"/>
      <c r="AF337" s="1929"/>
      <c r="AG337" s="1929"/>
      <c r="AH337" s="1929"/>
      <c r="AI337" s="1929"/>
      <c r="AJ337" s="192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9" t="s">
        <v>2128</v>
      </c>
      <c r="D339" s="1929"/>
      <c r="E339" s="1929"/>
      <c r="F339" s="1929"/>
      <c r="G339" s="1929"/>
      <c r="H339" s="1929"/>
      <c r="I339" s="1929"/>
      <c r="J339" s="1929"/>
      <c r="K339" s="1929"/>
      <c r="L339" s="1929"/>
      <c r="M339" s="1929"/>
      <c r="N339" s="1929"/>
      <c r="O339" s="1929"/>
      <c r="P339" s="1929"/>
      <c r="Q339" s="1929"/>
      <c r="R339" s="1929"/>
      <c r="S339" s="1929"/>
      <c r="T339" s="1929"/>
      <c r="U339" s="1929"/>
      <c r="V339" s="1929"/>
      <c r="W339" s="1929"/>
      <c r="X339" s="1929"/>
      <c r="Y339" s="1929"/>
      <c r="Z339" s="1929"/>
      <c r="AA339" s="1929"/>
      <c r="AB339" s="1929"/>
      <c r="AC339" s="1929"/>
      <c r="AD339" s="1929"/>
      <c r="AE339" s="1929"/>
      <c r="AF339" s="1929"/>
      <c r="AG339" s="1929"/>
      <c r="AH339" s="1929"/>
      <c r="AI339" s="1929"/>
      <c r="AJ339" s="1929"/>
      <c r="AK339" s="638"/>
      <c r="AL339" s="638"/>
      <c r="AM339" s="638"/>
      <c r="AN339" s="632"/>
      <c r="AQ339" s="605"/>
      <c r="AR339" s="605"/>
    </row>
    <row r="340" spans="1:46" s="585" customFormat="1" ht="30" customHeight="1">
      <c r="A340" s="638"/>
      <c r="B340" s="646"/>
      <c r="C340" s="1929"/>
      <c r="D340" s="1929"/>
      <c r="E340" s="1929"/>
      <c r="F340" s="1929"/>
      <c r="G340" s="1929"/>
      <c r="H340" s="1929"/>
      <c r="I340" s="1929"/>
      <c r="J340" s="1929"/>
      <c r="K340" s="1929"/>
      <c r="L340" s="1929"/>
      <c r="M340" s="1929"/>
      <c r="N340" s="1929"/>
      <c r="O340" s="1929"/>
      <c r="P340" s="1929"/>
      <c r="Q340" s="1929"/>
      <c r="R340" s="1929"/>
      <c r="S340" s="1929"/>
      <c r="T340" s="1929"/>
      <c r="U340" s="1929"/>
      <c r="V340" s="1929"/>
      <c r="W340" s="1929"/>
      <c r="X340" s="1929"/>
      <c r="Y340" s="1929"/>
      <c r="Z340" s="1929"/>
      <c r="AA340" s="1929"/>
      <c r="AB340" s="1929"/>
      <c r="AC340" s="1929"/>
      <c r="AD340" s="1929"/>
      <c r="AE340" s="1929"/>
      <c r="AF340" s="1929"/>
      <c r="AG340" s="1929"/>
      <c r="AH340" s="1929"/>
      <c r="AI340" s="1929"/>
      <c r="AJ340" s="1929"/>
      <c r="AK340" s="638"/>
      <c r="AL340" s="638"/>
      <c r="AM340" s="638"/>
      <c r="AN340" s="632"/>
      <c r="AR340" s="605"/>
    </row>
    <row r="341" spans="1:46" s="585" customFormat="1" ht="12.75" customHeight="1">
      <c r="A341" s="638"/>
      <c r="B341" s="646"/>
      <c r="C341" s="1929"/>
      <c r="D341" s="1929"/>
      <c r="E341" s="1929"/>
      <c r="F341" s="1929"/>
      <c r="G341" s="1929"/>
      <c r="H341" s="1929"/>
      <c r="I341" s="1929"/>
      <c r="J341" s="1929"/>
      <c r="K341" s="1929"/>
      <c r="L341" s="1929"/>
      <c r="M341" s="1929"/>
      <c r="N341" s="1929"/>
      <c r="O341" s="1929"/>
      <c r="P341" s="1929"/>
      <c r="Q341" s="1929"/>
      <c r="R341" s="1929"/>
      <c r="S341" s="1929"/>
      <c r="T341" s="1929"/>
      <c r="U341" s="1929"/>
      <c r="V341" s="1929"/>
      <c r="W341" s="1929"/>
      <c r="X341" s="1929"/>
      <c r="Y341" s="1929"/>
      <c r="Z341" s="1929"/>
      <c r="AA341" s="1929"/>
      <c r="AB341" s="1929"/>
      <c r="AC341" s="1929"/>
      <c r="AD341" s="1929"/>
      <c r="AE341" s="1929"/>
      <c r="AF341" s="1929"/>
      <c r="AG341" s="1929"/>
      <c r="AH341" s="1929"/>
      <c r="AI341" s="1929"/>
      <c r="AJ341" s="1929"/>
      <c r="AK341" s="638"/>
      <c r="AL341" s="638"/>
      <c r="AM341" s="638"/>
      <c r="AN341" s="632"/>
      <c r="AR341" s="605"/>
    </row>
    <row r="342" spans="1:46" s="585" customFormat="1" ht="12.75" customHeight="1">
      <c r="A342" s="638"/>
      <c r="B342" s="646"/>
      <c r="C342" s="1929" t="s">
        <v>1628</v>
      </c>
      <c r="D342" s="1929"/>
      <c r="E342" s="1929"/>
      <c r="F342" s="1929"/>
      <c r="G342" s="1929"/>
      <c r="H342" s="1929"/>
      <c r="I342" s="1929"/>
      <c r="J342" s="1929"/>
      <c r="K342" s="1929"/>
      <c r="L342" s="1929"/>
      <c r="M342" s="1929"/>
      <c r="N342" s="1929"/>
      <c r="O342" s="1929"/>
      <c r="P342" s="1929"/>
      <c r="Q342" s="1929"/>
      <c r="R342" s="1929"/>
      <c r="S342" s="1929"/>
      <c r="T342" s="1929"/>
      <c r="U342" s="1929"/>
      <c r="V342" s="1929"/>
      <c r="W342" s="1929"/>
      <c r="X342" s="1929"/>
      <c r="Y342" s="1929"/>
      <c r="Z342" s="1929"/>
      <c r="AA342" s="1929"/>
      <c r="AB342" s="1929"/>
      <c r="AC342" s="1929"/>
      <c r="AD342" s="1929"/>
      <c r="AE342" s="1929"/>
      <c r="AF342" s="1929"/>
      <c r="AG342" s="1929"/>
      <c r="AH342" s="1929"/>
      <c r="AI342" s="1929"/>
      <c r="AJ342" s="1929"/>
      <c r="AK342" s="638"/>
      <c r="AL342" s="638"/>
      <c r="AM342" s="638"/>
      <c r="AN342" s="632"/>
      <c r="AQ342" s="605"/>
      <c r="AR342" s="605"/>
    </row>
    <row r="343" spans="1:46" s="585" customFormat="1" ht="12.75" customHeight="1">
      <c r="A343" s="638"/>
      <c r="B343" s="646"/>
      <c r="C343" s="1929"/>
      <c r="D343" s="1929"/>
      <c r="E343" s="1929"/>
      <c r="F343" s="1929"/>
      <c r="G343" s="1929"/>
      <c r="H343" s="1929"/>
      <c r="I343" s="1929"/>
      <c r="J343" s="1929"/>
      <c r="K343" s="1929"/>
      <c r="L343" s="1929"/>
      <c r="M343" s="1929"/>
      <c r="N343" s="1929"/>
      <c r="O343" s="1929"/>
      <c r="P343" s="1929"/>
      <c r="Q343" s="1929"/>
      <c r="R343" s="1929"/>
      <c r="S343" s="1929"/>
      <c r="T343" s="1929"/>
      <c r="U343" s="1929"/>
      <c r="V343" s="1929"/>
      <c r="W343" s="1929"/>
      <c r="X343" s="1929"/>
      <c r="Y343" s="1929"/>
      <c r="Z343" s="1929"/>
      <c r="AA343" s="1929"/>
      <c r="AB343" s="1929"/>
      <c r="AC343" s="1929"/>
      <c r="AD343" s="1929"/>
      <c r="AE343" s="1929"/>
      <c r="AF343" s="1929"/>
      <c r="AG343" s="1929"/>
      <c r="AH343" s="1929"/>
      <c r="AI343" s="1929"/>
      <c r="AJ343" s="1929"/>
      <c r="AK343" s="638"/>
      <c r="AL343" s="638"/>
      <c r="AM343" s="638"/>
      <c r="AN343" s="632"/>
      <c r="AQ343" s="605"/>
      <c r="AR343" s="605"/>
    </row>
    <row r="344" spans="1:46" s="585" customFormat="1" ht="13.15" customHeight="1">
      <c r="A344" s="638"/>
      <c r="B344" s="646"/>
      <c r="C344" s="1929"/>
      <c r="D344" s="1929"/>
      <c r="E344" s="1929"/>
      <c r="F344" s="1929"/>
      <c r="G344" s="1929"/>
      <c r="H344" s="1929"/>
      <c r="I344" s="1929"/>
      <c r="J344" s="1929"/>
      <c r="K344" s="1929"/>
      <c r="L344" s="1929"/>
      <c r="M344" s="1929"/>
      <c r="N344" s="1929"/>
      <c r="O344" s="1929"/>
      <c r="P344" s="1929"/>
      <c r="Q344" s="1929"/>
      <c r="R344" s="1929"/>
      <c r="S344" s="1929"/>
      <c r="T344" s="1929"/>
      <c r="U344" s="1929"/>
      <c r="V344" s="1929"/>
      <c r="W344" s="1929"/>
      <c r="X344" s="1929"/>
      <c r="Y344" s="1929"/>
      <c r="Z344" s="1929"/>
      <c r="AA344" s="1929"/>
      <c r="AB344" s="1929"/>
      <c r="AC344" s="1929"/>
      <c r="AD344" s="1929"/>
      <c r="AE344" s="1929"/>
      <c r="AF344" s="1929"/>
      <c r="AG344" s="1929"/>
      <c r="AH344" s="1929"/>
      <c r="AI344" s="1929"/>
      <c r="AJ344" s="1929"/>
      <c r="AK344" s="638"/>
      <c r="AL344" s="638"/>
      <c r="AM344" s="638"/>
      <c r="AN344" s="632"/>
      <c r="AQ344" s="605"/>
      <c r="AR344" s="605"/>
    </row>
    <row r="345" spans="1:46" s="585" customFormat="1" ht="12.75" customHeight="1">
      <c r="A345" s="638"/>
      <c r="B345" s="646"/>
      <c r="C345" s="1929"/>
      <c r="D345" s="1929"/>
      <c r="E345" s="1929"/>
      <c r="F345" s="1929"/>
      <c r="G345" s="1929"/>
      <c r="H345" s="1929"/>
      <c r="I345" s="1929"/>
      <c r="J345" s="1929"/>
      <c r="K345" s="1929"/>
      <c r="L345" s="1929"/>
      <c r="M345" s="1929"/>
      <c r="N345" s="1929"/>
      <c r="O345" s="1929"/>
      <c r="P345" s="1929"/>
      <c r="Q345" s="1929"/>
      <c r="R345" s="1929"/>
      <c r="S345" s="1929"/>
      <c r="T345" s="1929"/>
      <c r="U345" s="1929"/>
      <c r="V345" s="1929"/>
      <c r="W345" s="1929"/>
      <c r="X345" s="1929"/>
      <c r="Y345" s="1929"/>
      <c r="Z345" s="1929"/>
      <c r="AA345" s="1929"/>
      <c r="AB345" s="1929"/>
      <c r="AC345" s="1929"/>
      <c r="AD345" s="1929"/>
      <c r="AE345" s="1929"/>
      <c r="AF345" s="1929"/>
      <c r="AG345" s="1929"/>
      <c r="AH345" s="1929"/>
      <c r="AI345" s="1929"/>
      <c r="AJ345" s="1929"/>
      <c r="AK345" s="638"/>
      <c r="AL345" s="638"/>
      <c r="AM345" s="638"/>
      <c r="AN345" s="632"/>
      <c r="AO345" s="729"/>
      <c r="AP345" s="729"/>
      <c r="AQ345" s="605"/>
    </row>
    <row r="346" spans="1:46" s="585" customFormat="1" ht="11.85" customHeight="1">
      <c r="A346" s="638"/>
      <c r="B346" s="646"/>
      <c r="C346" s="1929"/>
      <c r="D346" s="1929"/>
      <c r="E346" s="1929"/>
      <c r="F346" s="1929"/>
      <c r="G346" s="1929"/>
      <c r="H346" s="1929"/>
      <c r="I346" s="1929"/>
      <c r="J346" s="1929"/>
      <c r="K346" s="1929"/>
      <c r="L346" s="1929"/>
      <c r="M346" s="1929"/>
      <c r="N346" s="1929"/>
      <c r="O346" s="1929"/>
      <c r="P346" s="1929"/>
      <c r="Q346" s="1929"/>
      <c r="R346" s="1929"/>
      <c r="S346" s="1929"/>
      <c r="T346" s="1929"/>
      <c r="U346" s="1929"/>
      <c r="V346" s="1929"/>
      <c r="W346" s="1929"/>
      <c r="X346" s="1929"/>
      <c r="Y346" s="1929"/>
      <c r="Z346" s="1929"/>
      <c r="AA346" s="1929"/>
      <c r="AB346" s="1929"/>
      <c r="AC346" s="1929"/>
      <c r="AD346" s="1929"/>
      <c r="AE346" s="1929"/>
      <c r="AF346" s="1929"/>
      <c r="AG346" s="1929"/>
      <c r="AH346" s="1929"/>
      <c r="AI346" s="1929"/>
      <c r="AJ346" s="1929"/>
      <c r="AK346" s="638"/>
      <c r="AL346" s="638"/>
      <c r="AM346" s="638"/>
      <c r="AN346" s="632"/>
      <c r="AO346" s="730" t="s">
        <v>113</v>
      </c>
      <c r="AP346" s="731">
        <f>IF(C370="Yes",5,0)</f>
        <v>0</v>
      </c>
      <c r="AS346" s="574" t="s">
        <v>1629</v>
      </c>
    </row>
    <row r="347" spans="1:46" s="585" customFormat="1" ht="12.75" customHeight="1">
      <c r="A347" s="638"/>
      <c r="B347" s="646"/>
      <c r="C347" s="1929"/>
      <c r="D347" s="1929"/>
      <c r="E347" s="1929"/>
      <c r="F347" s="1929"/>
      <c r="G347" s="1929"/>
      <c r="H347" s="1929"/>
      <c r="I347" s="1929"/>
      <c r="J347" s="1929"/>
      <c r="K347" s="1929"/>
      <c r="L347" s="1929"/>
      <c r="M347" s="1929"/>
      <c r="N347" s="1929"/>
      <c r="O347" s="1929"/>
      <c r="P347" s="1929"/>
      <c r="Q347" s="1929"/>
      <c r="R347" s="1929"/>
      <c r="S347" s="1929"/>
      <c r="T347" s="1929"/>
      <c r="U347" s="1929"/>
      <c r="V347" s="1929"/>
      <c r="W347" s="1929"/>
      <c r="X347" s="1929"/>
      <c r="Y347" s="1929"/>
      <c r="Z347" s="1929"/>
      <c r="AA347" s="1929"/>
      <c r="AB347" s="1929"/>
      <c r="AC347" s="1929"/>
      <c r="AD347" s="1929"/>
      <c r="AE347" s="1929"/>
      <c r="AF347" s="1929"/>
      <c r="AG347" s="1929"/>
      <c r="AH347" s="1929"/>
      <c r="AI347" s="1929"/>
      <c r="AJ347" s="1929"/>
      <c r="AK347" s="638"/>
      <c r="AL347" s="638"/>
      <c r="AM347" s="638"/>
      <c r="AN347" s="632"/>
      <c r="AO347" s="730" t="s">
        <v>114</v>
      </c>
      <c r="AP347" s="731">
        <f>IF(C378="Yes",5,0)</f>
        <v>0</v>
      </c>
      <c r="AS347" s="1894">
        <f>IF(Application!D210="Non-Targeted",(SUM(AQ355+AQ364)),AS351)</f>
        <v>10</v>
      </c>
      <c r="AT347" s="1894"/>
    </row>
    <row r="348" spans="1:46" s="585" customFormat="1" ht="12.75" customHeight="1">
      <c r="A348" s="638"/>
      <c r="B348" s="646"/>
      <c r="C348" s="1929"/>
      <c r="D348" s="1929"/>
      <c r="E348" s="1929"/>
      <c r="F348" s="1929"/>
      <c r="G348" s="1929"/>
      <c r="H348" s="1929"/>
      <c r="I348" s="1929"/>
      <c r="J348" s="1929"/>
      <c r="K348" s="1929"/>
      <c r="L348" s="1929"/>
      <c r="M348" s="1929"/>
      <c r="N348" s="1929"/>
      <c r="O348" s="1929"/>
      <c r="P348" s="1929"/>
      <c r="Q348" s="1929"/>
      <c r="R348" s="1929"/>
      <c r="S348" s="1929"/>
      <c r="T348" s="1929"/>
      <c r="U348" s="1929"/>
      <c r="V348" s="1929"/>
      <c r="W348" s="1929"/>
      <c r="X348" s="1929"/>
      <c r="Y348" s="1929"/>
      <c r="Z348" s="1929"/>
      <c r="AA348" s="1929"/>
      <c r="AB348" s="1929"/>
      <c r="AC348" s="1929"/>
      <c r="AD348" s="1929"/>
      <c r="AE348" s="1929"/>
      <c r="AF348" s="1929"/>
      <c r="AG348" s="1929"/>
      <c r="AH348" s="1929"/>
      <c r="AI348" s="1929"/>
      <c r="AJ348" s="1929"/>
      <c r="AK348" s="638"/>
      <c r="AL348" s="638"/>
      <c r="AM348" s="638"/>
      <c r="AN348" s="632"/>
      <c r="AO348" s="730" t="s">
        <v>120</v>
      </c>
      <c r="AP348" s="731">
        <f>IF(C386="Yes",7,0)</f>
        <v>7</v>
      </c>
      <c r="AS348" s="574" t="s">
        <v>1630</v>
      </c>
    </row>
    <row r="349" spans="1:46" s="585" customFormat="1" ht="12.75" customHeight="1">
      <c r="A349" s="638"/>
      <c r="B349" s="646"/>
      <c r="C349" s="1929"/>
      <c r="D349" s="1929"/>
      <c r="E349" s="1929"/>
      <c r="F349" s="1929"/>
      <c r="G349" s="1929"/>
      <c r="H349" s="1929"/>
      <c r="I349" s="1929"/>
      <c r="J349" s="1929"/>
      <c r="K349" s="1929"/>
      <c r="L349" s="1929"/>
      <c r="M349" s="1929"/>
      <c r="N349" s="1929"/>
      <c r="O349" s="1929"/>
      <c r="P349" s="1929"/>
      <c r="Q349" s="1929"/>
      <c r="R349" s="1929"/>
      <c r="S349" s="1929"/>
      <c r="T349" s="1929"/>
      <c r="U349" s="1929"/>
      <c r="V349" s="1929"/>
      <c r="W349" s="1929"/>
      <c r="X349" s="1929"/>
      <c r="Y349" s="1929"/>
      <c r="Z349" s="1929"/>
      <c r="AA349" s="1929"/>
      <c r="AB349" s="1929"/>
      <c r="AC349" s="1929"/>
      <c r="AD349" s="1929"/>
      <c r="AE349" s="1929"/>
      <c r="AF349" s="1929"/>
      <c r="AG349" s="1929"/>
      <c r="AH349" s="1929"/>
      <c r="AI349" s="1929"/>
      <c r="AJ349" s="1929"/>
      <c r="AK349" s="638"/>
      <c r="AL349" s="638"/>
      <c r="AM349" s="638"/>
      <c r="AN349" s="632"/>
      <c r="AO349" s="632"/>
      <c r="AP349" s="731">
        <f>IF(C388="Yes",5,0)</f>
        <v>0</v>
      </c>
      <c r="AS349" s="1894">
        <f>IF(AND(AQ355&gt;0,AQ364&gt;0),(AQ355+AQ364)/2,0)</f>
        <v>0</v>
      </c>
      <c r="AT349" s="1894"/>
    </row>
    <row r="350" spans="1:46" s="585" customFormat="1" ht="12.75" customHeight="1">
      <c r="A350" s="638"/>
      <c r="B350" s="646"/>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638"/>
      <c r="AL350" s="638"/>
      <c r="AM350" s="638"/>
      <c r="AN350" s="632"/>
      <c r="AO350" s="730" t="s">
        <v>591</v>
      </c>
      <c r="AP350" s="731">
        <f>IF(C396="Yes",5,0)</f>
        <v>0</v>
      </c>
      <c r="AS350" s="574" t="s">
        <v>2145</v>
      </c>
    </row>
    <row r="351" spans="1:46" s="585" customFormat="1" ht="12.75" customHeight="1">
      <c r="A351" s="638"/>
      <c r="B351" s="646"/>
      <c r="C351" s="2023" t="s">
        <v>1631</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8"/>
      <c r="AL351" s="638"/>
      <c r="AM351" s="638"/>
      <c r="AN351" s="632"/>
      <c r="AO351" s="632"/>
      <c r="AP351" s="731">
        <f>IF(C398="Yes",3,0)</f>
        <v>3</v>
      </c>
      <c r="AS351" s="1894">
        <f>IF(AQ355=0,AQ364,AQ355)</f>
        <v>10</v>
      </c>
      <c r="AT351" s="1894"/>
    </row>
    <row r="352" spans="1:46" s="585" customFormat="1" ht="12.75" customHeight="1">
      <c r="A352" s="638"/>
      <c r="B352" s="646"/>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8"/>
      <c r="AL352" s="638"/>
      <c r="AM352" s="638"/>
      <c r="AN352" s="632"/>
      <c r="AO352" s="730" t="s">
        <v>788</v>
      </c>
      <c r="AP352" s="731">
        <f>IF(C401="Yes",5,0)</f>
        <v>0</v>
      </c>
    </row>
    <row r="353" spans="1:81" s="585" customFormat="1" ht="12.75" customHeight="1">
      <c r="A353" s="638"/>
      <c r="B353" s="646"/>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8"/>
      <c r="AL353" s="638"/>
      <c r="AM353" s="638"/>
      <c r="AN353" s="632"/>
      <c r="AO353" s="730" t="s">
        <v>594</v>
      </c>
      <c r="AP353" s="731">
        <f>IF(C410="Yes",5,0)</f>
        <v>0</v>
      </c>
    </row>
    <row r="354" spans="1:81" s="585" customFormat="1" ht="11.85" customHeight="1">
      <c r="A354" s="638"/>
      <c r="B354" s="646"/>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8"/>
      <c r="AL354" s="638"/>
      <c r="AM354" s="638"/>
      <c r="AN354" s="632"/>
      <c r="AO354" s="732"/>
      <c r="AP354" s="733">
        <f>IF(C412="Yes",3,0)</f>
        <v>0</v>
      </c>
    </row>
    <row r="355" spans="1:81" s="585" customFormat="1" ht="12.4" customHeight="1">
      <c r="A355" s="638"/>
      <c r="B355" s="646"/>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8"/>
      <c r="AL355" s="638"/>
      <c r="AM355" s="638"/>
      <c r="AN355" s="632"/>
      <c r="AO355" s="734" t="s">
        <v>229</v>
      </c>
      <c r="AP355" s="735">
        <f>SUM(AP346:AP354)</f>
        <v>10</v>
      </c>
      <c r="AQ355" s="1932">
        <f>IF(AP355&gt;0,AP355,0)</f>
        <v>10</v>
      </c>
      <c r="AR355" s="1932"/>
    </row>
    <row r="356" spans="1:81" s="585" customFormat="1" ht="12.75" customHeight="1">
      <c r="A356" s="638"/>
      <c r="B356" s="646"/>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29" t="s">
        <v>1632</v>
      </c>
      <c r="D358" s="1929"/>
      <c r="E358" s="1929"/>
      <c r="F358" s="1929"/>
      <c r="G358" s="1929"/>
      <c r="H358" s="1929"/>
      <c r="I358" s="1929"/>
      <c r="J358" s="1929"/>
      <c r="K358" s="1929"/>
      <c r="L358" s="1929"/>
      <c r="M358" s="1929"/>
      <c r="N358" s="1929"/>
      <c r="O358" s="1929"/>
      <c r="P358" s="1929"/>
      <c r="Q358" s="1929"/>
      <c r="R358" s="1929"/>
      <c r="S358" s="1929"/>
      <c r="T358" s="1929"/>
      <c r="U358" s="1929"/>
      <c r="V358" s="1929"/>
      <c r="W358" s="1929"/>
      <c r="X358" s="1929"/>
      <c r="Y358" s="1929"/>
      <c r="Z358" s="1929"/>
      <c r="AA358" s="1929"/>
      <c r="AB358" s="1929"/>
      <c r="AC358" s="1929"/>
      <c r="AD358" s="1929"/>
      <c r="AE358" s="1929"/>
      <c r="AF358" s="1929"/>
      <c r="AG358" s="1929"/>
      <c r="AH358" s="1929"/>
      <c r="AI358" s="1929"/>
      <c r="AJ358" s="1929"/>
      <c r="AK358" s="638"/>
      <c r="AL358" s="638"/>
      <c r="AM358" s="638"/>
      <c r="AN358" s="632"/>
      <c r="AO358" s="730" t="s">
        <v>466</v>
      </c>
      <c r="AP358" s="731">
        <f>IF(C431="Yes",5,0)</f>
        <v>0</v>
      </c>
    </row>
    <row r="359" spans="1:81" s="585" customFormat="1" ht="12.75" customHeight="1">
      <c r="A359" s="638"/>
      <c r="B359" s="646"/>
      <c r="C359" s="1929"/>
      <c r="D359" s="1929"/>
      <c r="E359" s="1929"/>
      <c r="F359" s="1929"/>
      <c r="G359" s="1929"/>
      <c r="H359" s="1929"/>
      <c r="I359" s="1929"/>
      <c r="J359" s="1929"/>
      <c r="K359" s="1929"/>
      <c r="L359" s="1929"/>
      <c r="M359" s="1929"/>
      <c r="N359" s="1929"/>
      <c r="O359" s="1929"/>
      <c r="P359" s="1929"/>
      <c r="Q359" s="1929"/>
      <c r="R359" s="1929"/>
      <c r="S359" s="1929"/>
      <c r="T359" s="1929"/>
      <c r="U359" s="1929"/>
      <c r="V359" s="1929"/>
      <c r="W359" s="1929"/>
      <c r="X359" s="1929"/>
      <c r="Y359" s="1929"/>
      <c r="Z359" s="1929"/>
      <c r="AA359" s="1929"/>
      <c r="AB359" s="1929"/>
      <c r="AC359" s="1929"/>
      <c r="AD359" s="1929"/>
      <c r="AE359" s="1929"/>
      <c r="AF359" s="1929"/>
      <c r="AG359" s="1929"/>
      <c r="AH359" s="1929"/>
      <c r="AI359" s="1929"/>
      <c r="AJ359" s="1929"/>
      <c r="AK359" s="638"/>
      <c r="AL359" s="638"/>
      <c r="AM359" s="638"/>
      <c r="AN359" s="632"/>
      <c r="AO359" s="730" t="s">
        <v>471</v>
      </c>
      <c r="AP359" s="731">
        <f>IF(C438="Yes",5,0)</f>
        <v>0</v>
      </c>
    </row>
    <row r="360" spans="1:81" s="585" customFormat="1" ht="68.099999999999994" customHeight="1">
      <c r="A360" s="638"/>
      <c r="B360" s="646"/>
      <c r="C360" s="1929"/>
      <c r="D360" s="1929"/>
      <c r="E360" s="1929"/>
      <c r="F360" s="1929"/>
      <c r="G360" s="1929"/>
      <c r="H360" s="1929"/>
      <c r="I360" s="1929"/>
      <c r="J360" s="1929"/>
      <c r="K360" s="1929"/>
      <c r="L360" s="1929"/>
      <c r="M360" s="1929"/>
      <c r="N360" s="1929"/>
      <c r="O360" s="1929"/>
      <c r="P360" s="1929"/>
      <c r="Q360" s="1929"/>
      <c r="R360" s="1929"/>
      <c r="S360" s="1929"/>
      <c r="T360" s="1929"/>
      <c r="U360" s="1929"/>
      <c r="V360" s="1929"/>
      <c r="W360" s="1929"/>
      <c r="X360" s="1929"/>
      <c r="Y360" s="1929"/>
      <c r="Z360" s="1929"/>
      <c r="AA360" s="1929"/>
      <c r="AB360" s="1929"/>
      <c r="AC360" s="1929"/>
      <c r="AD360" s="1929"/>
      <c r="AE360" s="1929"/>
      <c r="AF360" s="1929"/>
      <c r="AG360" s="1929"/>
      <c r="AH360" s="1929"/>
      <c r="AI360" s="1929"/>
      <c r="AJ360" s="1929"/>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30">
        <f>Application!CS649-U363</f>
        <v>138</v>
      </c>
      <c r="V362" s="1930"/>
      <c r="W362" s="193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31">
        <f>Application!AG742</f>
        <v>0</v>
      </c>
      <c r="V363" s="1931"/>
      <c r="W363" s="193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32">
        <f>IF(AP364&gt;0,AP364,0)</f>
        <v>0</v>
      </c>
      <c r="AR364" s="1932"/>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23" t="s">
        <v>1637</v>
      </c>
      <c r="G366" s="1923"/>
      <c r="H366" s="1923"/>
      <c r="I366" s="1923"/>
      <c r="J366" s="1923"/>
      <c r="K366" s="1923"/>
      <c r="L366" s="1923"/>
      <c r="M366" s="1923"/>
      <c r="N366" s="1923"/>
      <c r="O366" s="1923"/>
      <c r="P366" s="1923"/>
      <c r="Q366" s="1923"/>
      <c r="R366" s="1923"/>
      <c r="S366" s="1923"/>
      <c r="T366" s="1923"/>
      <c r="U366" s="1923"/>
      <c r="V366" s="1923"/>
      <c r="W366" s="1923"/>
      <c r="X366" s="1923"/>
      <c r="Y366" s="1923"/>
      <c r="Z366" s="1923"/>
      <c r="AA366" s="1923"/>
      <c r="AB366" s="1923"/>
      <c r="AC366" s="1923"/>
      <c r="AD366" s="1923"/>
      <c r="AE366" s="1923"/>
      <c r="AF366" s="192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c r="AB367" s="1924"/>
      <c r="AC367" s="1924"/>
      <c r="AD367" s="1924"/>
      <c r="AE367" s="1924"/>
      <c r="AF367" s="192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c r="AB368" s="1924"/>
      <c r="AC368" s="1924"/>
      <c r="AD368" s="1924"/>
      <c r="AE368" s="1924"/>
      <c r="AF368" s="192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c r="AB369" s="1924"/>
      <c r="AC369" s="1924"/>
      <c r="AD369" s="1924"/>
      <c r="AE369" s="1924"/>
      <c r="AF369" s="192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33" t="s">
        <v>601</v>
      </c>
      <c r="D370" s="1934"/>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22" t="s">
        <v>1639</v>
      </c>
      <c r="AG370" s="1922"/>
      <c r="AH370" s="1922"/>
      <c r="AI370" s="1922"/>
      <c r="AJ370" s="1922"/>
      <c r="AK370" s="1922"/>
      <c r="AL370" s="193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23" t="s">
        <v>1640</v>
      </c>
      <c r="G373" s="1923"/>
      <c r="H373" s="1923"/>
      <c r="I373" s="1923"/>
      <c r="J373" s="1923"/>
      <c r="K373" s="1923"/>
      <c r="L373" s="1923"/>
      <c r="M373" s="1923"/>
      <c r="N373" s="1923"/>
      <c r="O373" s="1923"/>
      <c r="P373" s="1923"/>
      <c r="Q373" s="1923"/>
      <c r="R373" s="1923"/>
      <c r="S373" s="1923"/>
      <c r="T373" s="1923"/>
      <c r="U373" s="1923"/>
      <c r="V373" s="1923"/>
      <c r="W373" s="1923"/>
      <c r="X373" s="1923"/>
      <c r="Y373" s="1923"/>
      <c r="Z373" s="1923"/>
      <c r="AA373" s="1923"/>
      <c r="AB373" s="1923"/>
      <c r="AC373" s="1923"/>
      <c r="AD373" s="1923"/>
      <c r="AE373" s="1923"/>
      <c r="AF373" s="192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c r="AB374" s="1924"/>
      <c r="AC374" s="1924"/>
      <c r="AD374" s="1924"/>
      <c r="AE374" s="1924"/>
      <c r="AF374" s="192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c r="AB375" s="1924"/>
      <c r="AC375" s="1924"/>
      <c r="AD375" s="1924"/>
      <c r="AE375" s="1924"/>
      <c r="AF375" s="192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c r="AB376" s="1924"/>
      <c r="AC376" s="1924"/>
      <c r="AD376" s="1924"/>
      <c r="AE376" s="1924"/>
      <c r="AF376" s="192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c r="AB377" s="1924"/>
      <c r="AC377" s="1924"/>
      <c r="AD377" s="1924"/>
      <c r="AE377" s="1924"/>
      <c r="AF377" s="1924"/>
      <c r="AL377" s="767"/>
      <c r="AN377" s="632"/>
      <c r="BS377" s="30"/>
      <c r="BT377" s="30"/>
      <c r="BU377" s="14"/>
      <c r="BV377" s="14"/>
      <c r="BW377" s="14"/>
      <c r="BX377" s="14"/>
      <c r="BY377" s="14"/>
      <c r="BZ377" s="14"/>
      <c r="CA377" s="14"/>
      <c r="CB377" s="14"/>
      <c r="CC377" s="14"/>
    </row>
    <row r="378" spans="1:81" s="585" customFormat="1" ht="12.75" customHeight="1">
      <c r="A378" s="571"/>
      <c r="B378" s="14"/>
      <c r="C378" s="1933" t="s">
        <v>601</v>
      </c>
      <c r="D378" s="1934"/>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22" t="s">
        <v>1639</v>
      </c>
      <c r="AG378" s="1922"/>
      <c r="AH378" s="1922"/>
      <c r="AI378" s="1922"/>
      <c r="AJ378" s="1922"/>
      <c r="AK378" s="1922"/>
      <c r="AL378" s="193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23" t="s">
        <v>1642</v>
      </c>
      <c r="G381" s="1923"/>
      <c r="H381" s="1923"/>
      <c r="I381" s="1923"/>
      <c r="J381" s="1923"/>
      <c r="K381" s="1923"/>
      <c r="L381" s="1923"/>
      <c r="M381" s="1923"/>
      <c r="N381" s="1923"/>
      <c r="O381" s="1923"/>
      <c r="P381" s="1923"/>
      <c r="Q381" s="1923"/>
      <c r="R381" s="1923"/>
      <c r="S381" s="1923"/>
      <c r="T381" s="1923"/>
      <c r="U381" s="1923"/>
      <c r="V381" s="1923"/>
      <c r="W381" s="1923"/>
      <c r="X381" s="1923"/>
      <c r="Y381" s="1923"/>
      <c r="Z381" s="1923"/>
      <c r="AA381" s="1923"/>
      <c r="AB381" s="1923"/>
      <c r="AC381" s="1923"/>
      <c r="AD381" s="1923"/>
      <c r="AE381" s="1923"/>
      <c r="AF381" s="192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c r="AB382" s="1924"/>
      <c r="AC382" s="1924"/>
      <c r="AD382" s="1924"/>
      <c r="AE382" s="1924"/>
      <c r="AF382" s="192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c r="AB383" s="1924"/>
      <c r="AC383" s="1924"/>
      <c r="AD383" s="1924"/>
      <c r="AE383" s="1924"/>
      <c r="AF383" s="192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c r="AB384" s="1924"/>
      <c r="AC384" s="1924"/>
      <c r="AD384" s="1924"/>
      <c r="AE384" s="1924"/>
      <c r="AF384" s="192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c r="AB385" s="1924"/>
      <c r="AC385" s="1924"/>
      <c r="AD385" s="1924"/>
      <c r="AE385" s="1924"/>
      <c r="AF385" s="192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33" t="s">
        <v>555</v>
      </c>
      <c r="D386" s="1934"/>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22" t="s">
        <v>1644</v>
      </c>
      <c r="AG386" s="1922"/>
      <c r="AH386" s="1922"/>
      <c r="AI386" s="1922"/>
      <c r="AJ386" s="1922"/>
      <c r="AK386" s="1922"/>
      <c r="AL386" s="193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33" t="s">
        <v>601</v>
      </c>
      <c r="D388" s="1934"/>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22" t="s">
        <v>1639</v>
      </c>
      <c r="AG388" s="1922"/>
      <c r="AH388" s="1922"/>
      <c r="AI388" s="1922"/>
      <c r="AJ388" s="1922"/>
      <c r="AK388" s="1922"/>
      <c r="AL388" s="193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23" t="s">
        <v>1648</v>
      </c>
      <c r="G392" s="1923"/>
      <c r="H392" s="1923"/>
      <c r="I392" s="1923"/>
      <c r="J392" s="1923"/>
      <c r="K392" s="1923"/>
      <c r="L392" s="1923"/>
      <c r="M392" s="1923"/>
      <c r="N392" s="1923"/>
      <c r="O392" s="1923"/>
      <c r="P392" s="1923"/>
      <c r="Q392" s="1923"/>
      <c r="R392" s="1923"/>
      <c r="S392" s="1923"/>
      <c r="T392" s="1923"/>
      <c r="U392" s="1923"/>
      <c r="V392" s="1923"/>
      <c r="W392" s="1923"/>
      <c r="X392" s="1923"/>
      <c r="Y392" s="1923"/>
      <c r="Z392" s="1923"/>
      <c r="AA392" s="1923"/>
      <c r="AB392" s="1923"/>
      <c r="AC392" s="1923"/>
      <c r="AD392" s="1923"/>
      <c r="AE392" s="1923"/>
      <c r="AF392" s="192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c r="AB393" s="1924"/>
      <c r="AC393" s="1924"/>
      <c r="AD393" s="1924"/>
      <c r="AE393" s="1924"/>
      <c r="AF393" s="192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c r="AB394" s="1924"/>
      <c r="AC394" s="1924"/>
      <c r="AD394" s="1924"/>
      <c r="AE394" s="1924"/>
      <c r="AF394" s="192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c r="AB395" s="1924"/>
      <c r="AC395" s="1924"/>
      <c r="AD395" s="1924"/>
      <c r="AE395" s="1924"/>
      <c r="AF395" s="192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33" t="s">
        <v>601</v>
      </c>
      <c r="D396" s="1934"/>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22" t="s">
        <v>1639</v>
      </c>
      <c r="AG396" s="1922"/>
      <c r="AH396" s="1922"/>
      <c r="AI396" s="1922"/>
      <c r="AJ396" s="1922"/>
      <c r="AK396" s="1922"/>
      <c r="AL396" s="193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33" t="s">
        <v>555</v>
      </c>
      <c r="D398" s="1934"/>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22" t="s">
        <v>1651</v>
      </c>
      <c r="AG398" s="1922"/>
      <c r="AH398" s="1922"/>
      <c r="AI398" s="1922"/>
      <c r="AJ398" s="1922"/>
      <c r="AK398" s="1922"/>
      <c r="AL398" s="193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33" t="s">
        <v>601</v>
      </c>
      <c r="D401" s="1934"/>
      <c r="E401" s="750" t="s">
        <v>1652</v>
      </c>
      <c r="F401" s="1923" t="s">
        <v>1653</v>
      </c>
      <c r="G401" s="1923"/>
      <c r="H401" s="1923"/>
      <c r="I401" s="1923"/>
      <c r="J401" s="1923"/>
      <c r="K401" s="1923"/>
      <c r="L401" s="1923"/>
      <c r="M401" s="1923"/>
      <c r="N401" s="1923"/>
      <c r="O401" s="1923"/>
      <c r="P401" s="1923"/>
      <c r="Q401" s="1923"/>
      <c r="R401" s="1923"/>
      <c r="S401" s="1923"/>
      <c r="T401" s="1923"/>
      <c r="U401" s="1923"/>
      <c r="V401" s="1923"/>
      <c r="W401" s="1923"/>
      <c r="X401" s="1923"/>
      <c r="Y401" s="1923"/>
      <c r="Z401" s="1923"/>
      <c r="AA401" s="1923"/>
      <c r="AB401" s="1923"/>
      <c r="AC401" s="1923"/>
      <c r="AD401" s="1923"/>
      <c r="AE401" s="192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c r="AB402" s="1924"/>
      <c r="AC402" s="1924"/>
      <c r="AD402" s="1924"/>
      <c r="AE402" s="1924"/>
      <c r="AF402" s="1992" t="s">
        <v>1639</v>
      </c>
      <c r="AG402" s="1992"/>
      <c r="AH402" s="1992"/>
      <c r="AI402" s="1992"/>
      <c r="AJ402" s="1992"/>
      <c r="AK402" s="1992"/>
      <c r="AL402" s="2022"/>
      <c r="AM402" s="605"/>
      <c r="AN402" s="632"/>
      <c r="BS402" s="605"/>
      <c r="BT402" s="605"/>
      <c r="BY402" s="605"/>
      <c r="BZ402" s="605"/>
      <c r="CA402" s="605"/>
      <c r="CB402" s="605"/>
      <c r="CC402" s="605"/>
    </row>
    <row r="403" spans="1:81" s="585" customFormat="1" ht="12.75" customHeight="1">
      <c r="A403" s="571"/>
      <c r="B403" s="14"/>
      <c r="C403" s="766"/>
      <c r="D403" s="14"/>
      <c r="E403" s="726"/>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c r="AB403" s="1924"/>
      <c r="AC403" s="1924"/>
      <c r="AD403" s="1924"/>
      <c r="AE403" s="192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6"/>
      <c r="G404" s="2006"/>
      <c r="H404" s="2006"/>
      <c r="I404" s="2006"/>
      <c r="J404" s="2006"/>
      <c r="K404" s="2006"/>
      <c r="L404" s="2006"/>
      <c r="M404" s="2006"/>
      <c r="N404" s="2006"/>
      <c r="O404" s="2006"/>
      <c r="P404" s="2006"/>
      <c r="Q404" s="2006"/>
      <c r="R404" s="2006"/>
      <c r="S404" s="2006"/>
      <c r="T404" s="2006"/>
      <c r="U404" s="2006"/>
      <c r="V404" s="2006"/>
      <c r="W404" s="2006"/>
      <c r="X404" s="2006"/>
      <c r="Y404" s="2006"/>
      <c r="Z404" s="2006"/>
      <c r="AA404" s="2006"/>
      <c r="AB404" s="2006"/>
      <c r="AC404" s="2006"/>
      <c r="AD404" s="2006"/>
      <c r="AE404" s="200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23" t="s">
        <v>1655</v>
      </c>
      <c r="G406" s="1923"/>
      <c r="H406" s="1923"/>
      <c r="I406" s="1923"/>
      <c r="J406" s="1923"/>
      <c r="K406" s="1923"/>
      <c r="L406" s="1923"/>
      <c r="M406" s="1923"/>
      <c r="N406" s="1923"/>
      <c r="O406" s="1923"/>
      <c r="P406" s="1923"/>
      <c r="Q406" s="1923"/>
      <c r="R406" s="1923"/>
      <c r="S406" s="1923"/>
      <c r="T406" s="1923"/>
      <c r="U406" s="1923"/>
      <c r="V406" s="1923"/>
      <c r="W406" s="1923"/>
      <c r="X406" s="1923"/>
      <c r="Y406" s="1923"/>
      <c r="Z406" s="1923"/>
      <c r="AA406" s="1923"/>
      <c r="AB406" s="1923"/>
      <c r="AC406" s="1923"/>
      <c r="AD406" s="1923"/>
      <c r="AE406" s="1923"/>
      <c r="AF406" s="782"/>
      <c r="AG406" s="782"/>
      <c r="AH406" s="782"/>
      <c r="AI406" s="782"/>
      <c r="AJ406" s="782"/>
      <c r="AK406" s="782"/>
      <c r="AL406" s="783"/>
      <c r="AM406" s="605"/>
    </row>
    <row r="407" spans="1:81">
      <c r="A407" s="571"/>
      <c r="C407" s="766"/>
      <c r="E407" s="726"/>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574"/>
      <c r="AG407" s="571"/>
      <c r="AH407" s="585"/>
      <c r="AI407" s="585"/>
      <c r="AJ407" s="585"/>
      <c r="AK407" s="585"/>
      <c r="AL407" s="767"/>
      <c r="AM407" s="605"/>
    </row>
    <row r="408" spans="1:81" s="585" customFormat="1" ht="12.75" customHeight="1">
      <c r="A408" s="571"/>
      <c r="B408" s="14"/>
      <c r="C408" s="766"/>
      <c r="D408" s="14"/>
      <c r="E408" s="726"/>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c r="AB408" s="1924"/>
      <c r="AC408" s="1924"/>
      <c r="AD408" s="1924"/>
      <c r="AE408" s="1924"/>
      <c r="AL408" s="767"/>
      <c r="AM408" s="605"/>
      <c r="AN408" s="632"/>
    </row>
    <row r="409" spans="1:81" s="585" customFormat="1" ht="12.75" customHeight="1">
      <c r="A409" s="571"/>
      <c r="B409" s="14"/>
      <c r="C409" s="774"/>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c r="AL409" s="767"/>
      <c r="AM409" s="605"/>
      <c r="AN409" s="632"/>
    </row>
    <row r="410" spans="1:81" s="585" customFormat="1" ht="12.75" customHeight="1">
      <c r="A410" s="571"/>
      <c r="B410" s="14"/>
      <c r="C410" s="1933" t="s">
        <v>601</v>
      </c>
      <c r="D410" s="1934"/>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92" t="s">
        <v>1639</v>
      </c>
      <c r="AG410" s="1992"/>
      <c r="AH410" s="1992"/>
      <c r="AI410" s="1992"/>
      <c r="AJ410" s="1992"/>
      <c r="AK410" s="1992"/>
      <c r="AL410" s="2022"/>
      <c r="AM410" s="605"/>
      <c r="AN410" s="632"/>
    </row>
    <row r="411" spans="1:81" s="585" customFormat="1" ht="12.75" customHeight="1">
      <c r="A411" s="571"/>
      <c r="B411" s="14"/>
      <c r="C411" s="774"/>
      <c r="AL411" s="767"/>
      <c r="AM411" s="605"/>
      <c r="AN411" s="632"/>
    </row>
    <row r="412" spans="1:81" s="585" customFormat="1" ht="12.75" customHeight="1">
      <c r="A412" s="571"/>
      <c r="B412" s="14"/>
      <c r="C412" s="1933" t="s">
        <v>601</v>
      </c>
      <c r="D412" s="1934"/>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92" t="s">
        <v>1651</v>
      </c>
      <c r="AG412" s="1992"/>
      <c r="AH412" s="1992"/>
      <c r="AI412" s="1992"/>
      <c r="AJ412" s="1992"/>
      <c r="AK412" s="1992"/>
      <c r="AL412" s="202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23" t="s">
        <v>1660</v>
      </c>
      <c r="G416" s="1923"/>
      <c r="H416" s="1923"/>
      <c r="I416" s="1923"/>
      <c r="J416" s="1923"/>
      <c r="K416" s="1923"/>
      <c r="L416" s="1923"/>
      <c r="M416" s="1923"/>
      <c r="N416" s="1923"/>
      <c r="O416" s="1923"/>
      <c r="P416" s="1923"/>
      <c r="Q416" s="1923"/>
      <c r="R416" s="1923"/>
      <c r="S416" s="1923"/>
      <c r="T416" s="1923"/>
      <c r="U416" s="1923"/>
      <c r="V416" s="1923"/>
      <c r="W416" s="1923"/>
      <c r="X416" s="1923"/>
      <c r="Y416" s="1923"/>
      <c r="Z416" s="1923"/>
      <c r="AA416" s="1923"/>
      <c r="AB416" s="1923"/>
      <c r="AC416" s="1923"/>
      <c r="AD416" s="1923"/>
      <c r="AE416" s="1923"/>
      <c r="AF416" s="749"/>
      <c r="AG416" s="749"/>
      <c r="AH416" s="749"/>
      <c r="AI416" s="749"/>
      <c r="AJ416" s="749"/>
      <c r="AK416" s="749"/>
      <c r="AL416" s="780"/>
      <c r="AM416" s="605"/>
      <c r="AN416" s="632"/>
    </row>
    <row r="417" spans="1:60" s="585" customFormat="1" ht="12.75" customHeight="1">
      <c r="A417" s="571"/>
      <c r="B417" s="14"/>
      <c r="C417" s="766"/>
      <c r="D417" s="14"/>
      <c r="E417" s="726"/>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c r="AB417" s="1924"/>
      <c r="AC417" s="1924"/>
      <c r="AD417" s="1924"/>
      <c r="AE417" s="1924"/>
      <c r="AF417" s="574"/>
      <c r="AG417" s="571"/>
      <c r="AL417" s="767"/>
      <c r="AM417" s="605"/>
      <c r="AN417" s="632"/>
    </row>
    <row r="418" spans="1:60" s="585" customFormat="1" ht="12.4" customHeight="1">
      <c r="A418" s="571"/>
      <c r="B418" s="14"/>
      <c r="C418" s="766"/>
      <c r="D418" s="14"/>
      <c r="E418" s="726"/>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c r="AB418" s="1924"/>
      <c r="AC418" s="1924"/>
      <c r="AD418" s="1924"/>
      <c r="AE418" s="1924"/>
      <c r="AL418" s="767"/>
      <c r="AM418" s="605"/>
      <c r="AN418" s="632"/>
    </row>
    <row r="419" spans="1:60" s="585" customFormat="1" ht="12.75" customHeight="1">
      <c r="A419" s="571"/>
      <c r="B419" s="14"/>
      <c r="C419" s="1933" t="s">
        <v>601</v>
      </c>
      <c r="D419" s="1934"/>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92" t="s">
        <v>1639</v>
      </c>
      <c r="AG419" s="1992"/>
      <c r="AH419" s="1992"/>
      <c r="AI419" s="1992"/>
      <c r="AJ419" s="1992"/>
      <c r="AK419" s="1992"/>
      <c r="AL419" s="202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23" t="s">
        <v>1663</v>
      </c>
      <c r="G422" s="1923"/>
      <c r="H422" s="1923"/>
      <c r="I422" s="1923"/>
      <c r="J422" s="1923"/>
      <c r="K422" s="1923"/>
      <c r="L422" s="1923"/>
      <c r="M422" s="1923"/>
      <c r="N422" s="1923"/>
      <c r="O422" s="1923"/>
      <c r="P422" s="1923"/>
      <c r="Q422" s="1923"/>
      <c r="R422" s="1923"/>
      <c r="S422" s="1923"/>
      <c r="T422" s="1923"/>
      <c r="U422" s="1923"/>
      <c r="V422" s="1923"/>
      <c r="W422" s="1923"/>
      <c r="X422" s="1923"/>
      <c r="Y422" s="1923"/>
      <c r="Z422" s="1923"/>
      <c r="AA422" s="1923"/>
      <c r="AB422" s="1923"/>
      <c r="AC422" s="1923"/>
      <c r="AD422" s="1923"/>
      <c r="AE422" s="1923"/>
      <c r="AF422" s="782"/>
      <c r="AG422" s="782"/>
      <c r="AH422" s="782"/>
      <c r="AI422" s="782"/>
      <c r="AJ422" s="782"/>
      <c r="AK422" s="782"/>
      <c r="AL422" s="783"/>
      <c r="AM422" s="605"/>
      <c r="AO422" s="585"/>
      <c r="AP422" s="585"/>
      <c r="BD422" s="14"/>
      <c r="BE422" s="14"/>
      <c r="BF422" s="14"/>
      <c r="BG422" s="14"/>
      <c r="BH422" s="14"/>
    </row>
    <row r="423" spans="1:60">
      <c r="A423" s="571"/>
      <c r="C423" s="766"/>
      <c r="E423" s="726"/>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c r="AB423" s="1924"/>
      <c r="AC423" s="1924"/>
      <c r="AD423" s="1924"/>
      <c r="AE423" s="1924"/>
      <c r="AF423" s="629"/>
      <c r="AG423" s="629"/>
      <c r="AH423" s="629"/>
      <c r="AI423" s="629"/>
      <c r="AJ423" s="629"/>
      <c r="AK423" s="629"/>
      <c r="AL423" s="786"/>
      <c r="AM423" s="605"/>
      <c r="AO423" s="585"/>
      <c r="AP423" s="585"/>
    </row>
    <row r="424" spans="1:60" s="585" customFormat="1" ht="12.75" customHeight="1">
      <c r="A424" s="571"/>
      <c r="B424" s="14"/>
      <c r="C424" s="766"/>
      <c r="D424" s="14"/>
      <c r="E424" s="726"/>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c r="AB424" s="1924"/>
      <c r="AC424" s="1924"/>
      <c r="AD424" s="1924"/>
      <c r="AE424" s="1924"/>
      <c r="AF424" s="629"/>
      <c r="AG424" s="629"/>
      <c r="AH424" s="629"/>
      <c r="AI424" s="629"/>
      <c r="AJ424" s="629"/>
      <c r="AK424" s="629"/>
      <c r="AL424" s="786"/>
      <c r="AM424" s="605"/>
      <c r="AN424" s="632"/>
    </row>
    <row r="425" spans="1:60" s="585" customFormat="1" ht="12.75" customHeight="1">
      <c r="A425" s="571"/>
      <c r="B425" s="14"/>
      <c r="C425" s="787"/>
      <c r="D425" s="765"/>
      <c r="E425" s="754"/>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c r="AB425" s="1924"/>
      <c r="AC425" s="1924"/>
      <c r="AD425" s="1924"/>
      <c r="AE425" s="192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c r="AB426" s="1924"/>
      <c r="AC426" s="1924"/>
      <c r="AD426" s="1924"/>
      <c r="AE426" s="1924"/>
      <c r="AF426" s="629"/>
      <c r="AG426" s="629"/>
      <c r="AH426" s="629"/>
      <c r="AI426" s="629"/>
      <c r="AJ426" s="629"/>
      <c r="AK426" s="629"/>
      <c r="AL426" s="786"/>
      <c r="AM426" s="605"/>
      <c r="AN426" s="632"/>
    </row>
    <row r="427" spans="1:60" s="585" customFormat="1" ht="12.75" customHeight="1">
      <c r="A427" s="571"/>
      <c r="B427" s="14"/>
      <c r="C427" s="787"/>
      <c r="D427" s="765"/>
      <c r="E427" s="754"/>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c r="AB427" s="1924"/>
      <c r="AC427" s="1924"/>
      <c r="AD427" s="1924"/>
      <c r="AE427" s="1924"/>
      <c r="AF427" s="629"/>
      <c r="AG427" s="629"/>
      <c r="AH427" s="629"/>
      <c r="AI427" s="629"/>
      <c r="AJ427" s="629"/>
      <c r="AK427" s="629"/>
      <c r="AL427" s="786"/>
      <c r="AM427" s="605"/>
      <c r="AN427" s="632"/>
    </row>
    <row r="428" spans="1:60" s="585" customFormat="1" ht="12.75" customHeight="1">
      <c r="A428" s="571"/>
      <c r="B428" s="14"/>
      <c r="C428" s="787"/>
      <c r="D428" s="765"/>
      <c r="E428" s="754"/>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c r="AB428" s="1924"/>
      <c r="AC428" s="1924"/>
      <c r="AD428" s="1924"/>
      <c r="AE428" s="1924"/>
      <c r="AF428" s="629"/>
      <c r="AG428" s="629"/>
      <c r="AH428" s="629"/>
      <c r="AI428" s="629"/>
      <c r="AJ428" s="629"/>
      <c r="AK428" s="629"/>
      <c r="AL428" s="786"/>
      <c r="AM428" s="605"/>
      <c r="AN428" s="632"/>
    </row>
    <row r="429" spans="1:60" s="585" customFormat="1" ht="12.75" customHeight="1">
      <c r="A429" s="571"/>
      <c r="B429" s="14"/>
      <c r="C429" s="787"/>
      <c r="D429" s="765"/>
      <c r="E429" s="754"/>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c r="AB429" s="1924"/>
      <c r="AC429" s="1924"/>
      <c r="AD429" s="1924"/>
      <c r="AE429" s="1924"/>
      <c r="AF429" s="629"/>
      <c r="AG429" s="629"/>
      <c r="AH429" s="629"/>
      <c r="AI429" s="629"/>
      <c r="AJ429" s="629"/>
      <c r="AK429" s="629"/>
      <c r="AL429" s="786"/>
      <c r="AM429" s="605"/>
      <c r="AN429" s="632"/>
    </row>
    <row r="430" spans="1:60" s="585" customFormat="1" ht="17.25" customHeight="1">
      <c r="A430" s="571"/>
      <c r="B430" s="14"/>
      <c r="C430" s="787"/>
      <c r="D430" s="765"/>
      <c r="E430" s="754"/>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c r="AB430" s="1924"/>
      <c r="AC430" s="1924"/>
      <c r="AD430" s="1924"/>
      <c r="AE430" s="1924"/>
      <c r="AL430" s="767"/>
      <c r="AM430" s="605"/>
      <c r="AN430" s="632"/>
    </row>
    <row r="431" spans="1:60" s="585" customFormat="1" ht="12.75" customHeight="1">
      <c r="A431" s="571"/>
      <c r="B431" s="14"/>
      <c r="C431" s="1933" t="s">
        <v>601</v>
      </c>
      <c r="D431" s="1934"/>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92" t="s">
        <v>1639</v>
      </c>
      <c r="AG431" s="1992"/>
      <c r="AH431" s="1992"/>
      <c r="AI431" s="1992"/>
      <c r="AJ431" s="1992"/>
      <c r="AK431" s="1992"/>
      <c r="AL431" s="202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23" t="s">
        <v>1666</v>
      </c>
      <c r="G434" s="1923"/>
      <c r="H434" s="1923"/>
      <c r="I434" s="1923"/>
      <c r="J434" s="1923"/>
      <c r="K434" s="1923"/>
      <c r="L434" s="1923"/>
      <c r="M434" s="1923"/>
      <c r="N434" s="1923"/>
      <c r="O434" s="1923"/>
      <c r="P434" s="1923"/>
      <c r="Q434" s="1923"/>
      <c r="R434" s="1923"/>
      <c r="S434" s="1923"/>
      <c r="T434" s="1923"/>
      <c r="U434" s="1923"/>
      <c r="V434" s="1923"/>
      <c r="W434" s="1923"/>
      <c r="X434" s="1923"/>
      <c r="Y434" s="1923"/>
      <c r="Z434" s="1923"/>
      <c r="AA434" s="1923"/>
      <c r="AB434" s="1923"/>
      <c r="AC434" s="1923"/>
      <c r="AD434" s="1923"/>
      <c r="AE434" s="1923"/>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L437" s="767"/>
      <c r="AM437" s="605"/>
      <c r="AN437" s="632"/>
      <c r="AO437" s="585" t="s">
        <v>1669</v>
      </c>
      <c r="AP437" s="585">
        <v>5</v>
      </c>
      <c r="AQ437" s="571"/>
    </row>
    <row r="438" spans="1:54" s="585" customFormat="1" ht="12.75" customHeight="1">
      <c r="A438" s="571"/>
      <c r="B438" s="14"/>
      <c r="C438" s="1933" t="s">
        <v>601</v>
      </c>
      <c r="D438" s="1934"/>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92" t="s">
        <v>1639</v>
      </c>
      <c r="AG438" s="1992"/>
      <c r="AH438" s="1992"/>
      <c r="AI438" s="1992"/>
      <c r="AJ438" s="1992"/>
      <c r="AK438" s="1992"/>
      <c r="AL438" s="2022"/>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47" t="s">
        <v>601</v>
      </c>
      <c r="D442" s="2048"/>
      <c r="E442" s="750" t="s">
        <v>1675</v>
      </c>
      <c r="F442" s="1923" t="s">
        <v>1676</v>
      </c>
      <c r="G442" s="1923"/>
      <c r="H442" s="1923"/>
      <c r="I442" s="1923"/>
      <c r="J442" s="1923"/>
      <c r="K442" s="1923"/>
      <c r="L442" s="1923"/>
      <c r="M442" s="1923"/>
      <c r="N442" s="1923"/>
      <c r="O442" s="1923"/>
      <c r="P442" s="1923"/>
      <c r="Q442" s="1923"/>
      <c r="R442" s="1923"/>
      <c r="S442" s="1923"/>
      <c r="T442" s="1923"/>
      <c r="U442" s="1923"/>
      <c r="V442" s="1923"/>
      <c r="W442" s="1923"/>
      <c r="X442" s="1923"/>
      <c r="Y442" s="1923"/>
      <c r="Z442" s="1923"/>
      <c r="AA442" s="1923"/>
      <c r="AB442" s="1923"/>
      <c r="AC442" s="1923"/>
      <c r="AD442" s="1923"/>
      <c r="AE442" s="1923"/>
      <c r="AF442" s="2018" t="s">
        <v>1639</v>
      </c>
      <c r="AG442" s="2018"/>
      <c r="AH442" s="2018"/>
      <c r="AI442" s="2018"/>
      <c r="AJ442" s="2018"/>
      <c r="AK442" s="2018"/>
      <c r="AL442" s="2019"/>
      <c r="AM442" s="605"/>
      <c r="AN442" s="789"/>
      <c r="AO442" s="585" t="s">
        <v>1677</v>
      </c>
      <c r="AP442" s="585">
        <v>1</v>
      </c>
    </row>
    <row r="443" spans="1:54" s="585" customFormat="1" ht="12.75" customHeight="1">
      <c r="A443" s="571"/>
      <c r="B443" s="14"/>
      <c r="C443" s="787"/>
      <c r="D443" s="765"/>
      <c r="E443" s="754"/>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06"/>
      <c r="G444" s="2006"/>
      <c r="H444" s="2006"/>
      <c r="I444" s="2006"/>
      <c r="J444" s="2006"/>
      <c r="K444" s="2006"/>
      <c r="L444" s="2006"/>
      <c r="M444" s="2006"/>
      <c r="N444" s="2006"/>
      <c r="O444" s="2006"/>
      <c r="P444" s="2006"/>
      <c r="Q444" s="2006"/>
      <c r="R444" s="2006"/>
      <c r="S444" s="2006"/>
      <c r="T444" s="2006"/>
      <c r="U444" s="2006"/>
      <c r="V444" s="2006"/>
      <c r="W444" s="2006"/>
      <c r="X444" s="2006"/>
      <c r="Y444" s="2006"/>
      <c r="Z444" s="2006"/>
      <c r="AA444" s="2006"/>
      <c r="AB444" s="2006"/>
      <c r="AC444" s="2006"/>
      <c r="AD444" s="2006"/>
      <c r="AE444" s="2006"/>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33" t="s">
        <v>601</v>
      </c>
      <c r="D446" s="1934"/>
      <c r="E446" s="750" t="s">
        <v>1681</v>
      </c>
      <c r="F446" s="1923" t="s">
        <v>1682</v>
      </c>
      <c r="G446" s="1923"/>
      <c r="H446" s="1923"/>
      <c r="I446" s="1923"/>
      <c r="J446" s="1923"/>
      <c r="K446" s="1923"/>
      <c r="L446" s="1923"/>
      <c r="M446" s="1923"/>
      <c r="N446" s="1923"/>
      <c r="O446" s="1923"/>
      <c r="P446" s="1923"/>
      <c r="Q446" s="1923"/>
      <c r="R446" s="1923"/>
      <c r="S446" s="1923"/>
      <c r="T446" s="1923"/>
      <c r="U446" s="1923"/>
      <c r="V446" s="1923"/>
      <c r="W446" s="1923"/>
      <c r="X446" s="1923"/>
      <c r="Y446" s="1923"/>
      <c r="Z446" s="1923"/>
      <c r="AA446" s="1923"/>
      <c r="AB446" s="1923"/>
      <c r="AC446" s="1923"/>
      <c r="AD446" s="1923"/>
      <c r="AE446" s="1923"/>
      <c r="AF446" s="2018" t="s">
        <v>1639</v>
      </c>
      <c r="AG446" s="2018"/>
      <c r="AH446" s="2018"/>
      <c r="AI446" s="2018"/>
      <c r="AJ446" s="2018"/>
      <c r="AK446" s="2018"/>
      <c r="AL446" s="2019"/>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c r="AB447" s="1924"/>
      <c r="AC447" s="1924"/>
      <c r="AD447" s="1924"/>
      <c r="AE447" s="192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c r="AB448" s="1924"/>
      <c r="AC448" s="1924"/>
      <c r="AD448" s="1924"/>
      <c r="AE448" s="1924"/>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6"/>
      <c r="G449" s="2006"/>
      <c r="H449" s="2006"/>
      <c r="I449" s="2006"/>
      <c r="J449" s="2006"/>
      <c r="K449" s="2006"/>
      <c r="L449" s="2006"/>
      <c r="M449" s="2006"/>
      <c r="N449" s="2006"/>
      <c r="O449" s="2006"/>
      <c r="P449" s="2006"/>
      <c r="Q449" s="2006"/>
      <c r="R449" s="2006"/>
      <c r="S449" s="2006"/>
      <c r="T449" s="2006"/>
      <c r="U449" s="2006"/>
      <c r="V449" s="2006"/>
      <c r="W449" s="2006"/>
      <c r="X449" s="2006"/>
      <c r="Y449" s="2006"/>
      <c r="Z449" s="2006"/>
      <c r="AA449" s="2006"/>
      <c r="AB449" s="2006"/>
      <c r="AC449" s="2006"/>
      <c r="AD449" s="2006"/>
      <c r="AE449" s="200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23" t="s">
        <v>1685</v>
      </c>
      <c r="G451" s="1923"/>
      <c r="H451" s="1923"/>
      <c r="I451" s="1923"/>
      <c r="J451" s="1923"/>
      <c r="K451" s="1923"/>
      <c r="L451" s="1923"/>
      <c r="M451" s="1923"/>
      <c r="N451" s="1923"/>
      <c r="O451" s="1923"/>
      <c r="P451" s="1923"/>
      <c r="Q451" s="1923"/>
      <c r="R451" s="1923"/>
      <c r="S451" s="1923"/>
      <c r="T451" s="1923"/>
      <c r="U451" s="1923"/>
      <c r="V451" s="1923"/>
      <c r="W451" s="1923"/>
      <c r="X451" s="1923"/>
      <c r="Y451" s="1923"/>
      <c r="Z451" s="1923"/>
      <c r="AA451" s="1923"/>
      <c r="AB451" s="1923"/>
      <c r="AC451" s="1923"/>
      <c r="AD451" s="1923"/>
      <c r="AE451" s="1923"/>
      <c r="AF451" s="1923"/>
      <c r="AG451" s="779"/>
      <c r="AH451" s="749"/>
      <c r="AI451" s="749"/>
      <c r="AJ451" s="749"/>
      <c r="AK451" s="749"/>
      <c r="AL451" s="780"/>
      <c r="AM451" s="605"/>
      <c r="AN451" s="632"/>
    </row>
    <row r="452" spans="1:49" s="585" customFormat="1" ht="12.75" customHeight="1">
      <c r="A452" s="571"/>
      <c r="B452" s="14"/>
      <c r="C452" s="766"/>
      <c r="D452" s="14"/>
      <c r="E452" s="726"/>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L452" s="767"/>
      <c r="AM452" s="605"/>
      <c r="AN452" s="632"/>
    </row>
    <row r="453" spans="1:49" s="585" customFormat="1" ht="12.75" customHeight="1">
      <c r="A453" s="571"/>
      <c r="B453" s="14"/>
      <c r="C453" s="774"/>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c r="AB453" s="1924"/>
      <c r="AC453" s="1924"/>
      <c r="AD453" s="1924"/>
      <c r="AE453" s="1924"/>
      <c r="AF453" s="1924"/>
      <c r="AL453" s="767"/>
      <c r="AM453" s="605"/>
      <c r="AN453" s="632"/>
    </row>
    <row r="454" spans="1:49" s="585" customFormat="1" ht="12.75" customHeight="1">
      <c r="A454" s="571"/>
      <c r="B454" s="14"/>
      <c r="C454" s="774"/>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c r="AB454" s="1924"/>
      <c r="AC454" s="1924"/>
      <c r="AD454" s="1924"/>
      <c r="AE454" s="1924"/>
      <c r="AF454" s="1924"/>
      <c r="AL454" s="767"/>
      <c r="AM454" s="605"/>
      <c r="AN454" s="632"/>
    </row>
    <row r="455" spans="1:49" s="585" customFormat="1" ht="12.75" customHeight="1">
      <c r="A455" s="571"/>
      <c r="B455" s="14"/>
      <c r="C455" s="1933" t="s">
        <v>601</v>
      </c>
      <c r="D455" s="1934"/>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22" t="s">
        <v>1639</v>
      </c>
      <c r="AG455" s="1922"/>
      <c r="AH455" s="1922"/>
      <c r="AI455" s="1922"/>
      <c r="AJ455" s="1922"/>
      <c r="AK455" s="1922"/>
      <c r="AL455" s="193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19">
        <f>IF(Application!D213="N/A",AS347,AS349)</f>
        <v>10</v>
      </c>
      <c r="AL458" s="1920"/>
      <c r="AM458" s="192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22" t="s">
        <v>1689</v>
      </c>
      <c r="AF461" s="1922"/>
      <c r="AG461" s="1922"/>
      <c r="AH461" s="1922"/>
      <c r="AI461" s="1922"/>
      <c r="AJ461" s="1922"/>
      <c r="AK461" s="1922"/>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99" t="s">
        <v>601</v>
      </c>
      <c r="D467" s="2000"/>
      <c r="E467" s="797" t="s">
        <v>517</v>
      </c>
      <c r="F467" s="2020" t="s">
        <v>1695</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6"/>
      <c r="AH468" s="586"/>
      <c r="AI468" s="586"/>
      <c r="AJ468" s="586"/>
      <c r="AK468" s="767"/>
      <c r="AN468" s="632"/>
      <c r="AO468" s="585" t="s">
        <v>1677</v>
      </c>
      <c r="AP468" s="585">
        <v>1</v>
      </c>
    </row>
    <row r="469" spans="1:50" s="585" customFormat="1" ht="12.75" hidden="1" customHeight="1">
      <c r="C469" s="800"/>
      <c r="D469" s="762"/>
      <c r="E469" s="801"/>
      <c r="F469" s="2015" t="s">
        <v>601</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6" t="s">
        <v>555</v>
      </c>
      <c r="D471" s="2017"/>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28" t="s">
        <v>601</v>
      </c>
      <c r="W474" s="1928"/>
      <c r="X474" s="1928"/>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28" t="s">
        <v>601</v>
      </c>
      <c r="W476" s="1928"/>
      <c r="X476" s="1928"/>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28" t="s">
        <v>601</v>
      </c>
      <c r="W481" s="1928"/>
      <c r="X481" s="1928"/>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02"/>
      <c r="E484" s="2002"/>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28" t="s">
        <v>601</v>
      </c>
      <c r="W485" s="1928"/>
      <c r="X485" s="1928"/>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28" t="s">
        <v>601</v>
      </c>
      <c r="W487" s="1928"/>
      <c r="X487" s="1928"/>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9" t="s">
        <v>601</v>
      </c>
      <c r="D490" s="2000"/>
      <c r="E490" s="797" t="s">
        <v>517</v>
      </c>
      <c r="F490" s="2020" t="s">
        <v>1695</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7" t="s">
        <v>601</v>
      </c>
      <c r="G492" s="2007"/>
      <c r="H492" s="2007"/>
      <c r="I492" s="2007"/>
      <c r="J492" s="2007"/>
      <c r="K492" s="2007"/>
      <c r="L492" s="2007"/>
      <c r="M492" s="2007"/>
      <c r="N492" s="2007"/>
      <c r="O492" s="2007"/>
      <c r="P492" s="2007"/>
      <c r="Q492" s="2007"/>
      <c r="R492" s="2007"/>
      <c r="S492" s="2007"/>
      <c r="T492" s="2007"/>
      <c r="U492" s="2007"/>
      <c r="V492" s="2007"/>
      <c r="W492" s="2007"/>
      <c r="X492" s="2007"/>
      <c r="Y492" s="2007"/>
      <c r="Z492" s="2007"/>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9" t="s">
        <v>601</v>
      </c>
      <c r="D494" s="2000"/>
      <c r="E494" s="797" t="s">
        <v>770</v>
      </c>
      <c r="F494" s="2008" t="s">
        <v>1717</v>
      </c>
      <c r="G494" s="2008"/>
      <c r="H494" s="2008"/>
      <c r="I494" s="2008"/>
      <c r="J494" s="2008"/>
      <c r="K494" s="2008"/>
      <c r="L494" s="2008"/>
      <c r="M494" s="2008"/>
      <c r="N494" s="2008"/>
      <c r="O494" s="2008"/>
      <c r="P494" s="2008"/>
      <c r="Q494" s="2008"/>
      <c r="R494" s="2008"/>
      <c r="S494" s="2008"/>
      <c r="T494" s="2008"/>
      <c r="U494" s="2008"/>
      <c r="V494" s="2008"/>
      <c r="W494" s="2008"/>
      <c r="X494" s="2008"/>
      <c r="Y494" s="2008"/>
      <c r="Z494" s="2008"/>
      <c r="AA494" s="2008"/>
      <c r="AB494" s="2008"/>
      <c r="AC494" s="2008"/>
      <c r="AD494" s="2008"/>
      <c r="AE494" s="200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9"/>
      <c r="G495" s="2009"/>
      <c r="H495" s="2009"/>
      <c r="I495" s="2009"/>
      <c r="J495" s="2009"/>
      <c r="K495" s="2009"/>
      <c r="L495" s="2009"/>
      <c r="M495" s="2009"/>
      <c r="N495" s="2009"/>
      <c r="O495" s="2009"/>
      <c r="P495" s="2009"/>
      <c r="Q495" s="2009"/>
      <c r="R495" s="2009"/>
      <c r="S495" s="2009"/>
      <c r="T495" s="2009"/>
      <c r="U495" s="2009"/>
      <c r="V495" s="2009"/>
      <c r="W495" s="2009"/>
      <c r="X495" s="2009"/>
      <c r="Y495" s="2009"/>
      <c r="Z495" s="2009"/>
      <c r="AA495" s="2009"/>
      <c r="AB495" s="2009"/>
      <c r="AC495" s="2009"/>
      <c r="AD495" s="2009"/>
      <c r="AE495" s="200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10" t="s">
        <v>601</v>
      </c>
      <c r="G497" s="2010"/>
      <c r="H497" s="201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9" t="s">
        <v>601</v>
      </c>
      <c r="D499" s="2000"/>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01"/>
      <c r="D501" s="2002"/>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03" t="s">
        <v>601</v>
      </c>
      <c r="H502" s="2003"/>
      <c r="I502" s="2003"/>
      <c r="J502" s="2003"/>
      <c r="K502" s="2003"/>
      <c r="L502" s="2003"/>
      <c r="M502" s="2003"/>
      <c r="N502" s="2003"/>
      <c r="O502" s="2003"/>
      <c r="P502" s="2003"/>
      <c r="Q502" s="2003"/>
      <c r="R502" s="2003"/>
      <c r="S502" s="2003"/>
      <c r="T502" s="2003"/>
      <c r="U502" s="2003"/>
      <c r="V502" s="2003"/>
      <c r="W502" s="2003"/>
      <c r="X502" s="2003"/>
      <c r="Y502" s="2003"/>
      <c r="Z502" s="2003"/>
      <c r="AA502" s="2003"/>
      <c r="AB502" s="2003"/>
      <c r="AC502" s="2003"/>
      <c r="AD502" s="2003"/>
      <c r="AE502" s="2003"/>
      <c r="AF502" s="200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4" t="s">
        <v>601</v>
      </c>
      <c r="D504" s="2005"/>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4" t="s">
        <v>601</v>
      </c>
      <c r="D508" s="2005"/>
      <c r="F508" s="831" t="s">
        <v>1725</v>
      </c>
      <c r="G508" s="1924" t="s">
        <v>1726</v>
      </c>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6"/>
      <c r="H509" s="2006"/>
      <c r="I509" s="2006"/>
      <c r="J509" s="2006"/>
      <c r="K509" s="2006"/>
      <c r="L509" s="2006"/>
      <c r="M509" s="2006"/>
      <c r="N509" s="2006"/>
      <c r="O509" s="2006"/>
      <c r="P509" s="2006"/>
      <c r="Q509" s="2006"/>
      <c r="R509" s="2006"/>
      <c r="S509" s="2006"/>
      <c r="T509" s="2006"/>
      <c r="U509" s="2006"/>
      <c r="V509" s="2006"/>
      <c r="W509" s="2006"/>
      <c r="X509" s="2006"/>
      <c r="Y509" s="2006"/>
      <c r="Z509" s="2006"/>
      <c r="AA509" s="2006"/>
      <c r="AB509" s="2006"/>
      <c r="AC509" s="2006"/>
      <c r="AD509" s="2006"/>
      <c r="AE509" s="2006"/>
      <c r="AF509" s="200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11" t="s">
        <v>601</v>
      </c>
      <c r="D512" s="2012"/>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13" t="s">
        <v>601</v>
      </c>
      <c r="G513" s="2013"/>
      <c r="H513" s="2013"/>
      <c r="I513" s="2013"/>
      <c r="J513" s="2013"/>
      <c r="K513" s="2013"/>
      <c r="L513" s="2013"/>
      <c r="M513" s="2013"/>
      <c r="N513" s="2013"/>
      <c r="O513" s="2013"/>
      <c r="P513" s="2013"/>
      <c r="Q513" s="2013"/>
      <c r="R513" s="2013"/>
      <c r="S513" s="2013"/>
      <c r="T513" s="2013"/>
      <c r="U513" s="2013"/>
      <c r="V513" s="2013"/>
      <c r="W513" s="2013"/>
      <c r="X513" s="2013"/>
      <c r="Y513" s="2013"/>
      <c r="Z513" s="2013"/>
      <c r="AA513" s="2013"/>
      <c r="AB513" s="2013"/>
      <c r="AC513" s="2013"/>
      <c r="AD513" s="2013"/>
      <c r="AE513" s="2013"/>
      <c r="AF513" s="201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c r="AF514" s="201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19">
        <f>SUM(AG468:AG513)</f>
        <v>0</v>
      </c>
      <c r="AL524" s="1920"/>
      <c r="AM524" s="192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5" t="s">
        <v>1738</v>
      </c>
      <c r="AF527" s="1925"/>
      <c r="AG527" s="1925"/>
      <c r="AH527" s="1925"/>
      <c r="AI527" s="1925"/>
      <c r="AJ527" s="1925"/>
      <c r="AK527" s="1925"/>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4" t="s">
        <v>555</v>
      </c>
      <c r="D530" s="1934"/>
      <c r="E530" s="586"/>
      <c r="F530" s="1993" t="s">
        <v>1739</v>
      </c>
      <c r="G530" s="1994"/>
      <c r="H530" s="1994"/>
      <c r="I530" s="1994"/>
      <c r="J530" s="1994"/>
      <c r="K530" s="1994"/>
      <c r="L530" s="1994"/>
      <c r="M530" s="1994"/>
      <c r="N530" s="1994"/>
      <c r="O530" s="1994"/>
      <c r="P530" s="1994"/>
      <c r="Q530" s="1994"/>
      <c r="R530" s="1994"/>
      <c r="S530" s="1994"/>
      <c r="T530" s="1994"/>
      <c r="U530" s="1994"/>
      <c r="V530" s="1994"/>
      <c r="W530" s="1994"/>
      <c r="X530" s="1994"/>
      <c r="Y530" s="1994"/>
      <c r="Z530" s="1994"/>
      <c r="AA530" s="1994"/>
      <c r="AB530" s="1994"/>
      <c r="AC530" s="1994"/>
      <c r="AD530" s="1994"/>
      <c r="AE530" s="1994"/>
      <c r="AF530" s="1994"/>
      <c r="AG530" s="1994"/>
      <c r="AH530" s="1994"/>
      <c r="AI530" s="1994"/>
      <c r="AJ530" s="1994"/>
      <c r="AK530" s="1994"/>
      <c r="AL530" s="1995"/>
      <c r="AM530" s="630"/>
      <c r="AN530" s="632"/>
    </row>
    <row r="531" spans="1:49" s="585" customFormat="1" ht="12.75" customHeight="1">
      <c r="A531" s="574"/>
      <c r="B531" s="574"/>
      <c r="C531" s="586"/>
      <c r="D531" s="586"/>
      <c r="E531" s="586"/>
      <c r="F531" s="1996"/>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1997"/>
      <c r="AH531" s="1997"/>
      <c r="AI531" s="1997"/>
      <c r="AJ531" s="1997"/>
      <c r="AK531" s="1997"/>
      <c r="AL531" s="199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4" t="s">
        <v>601</v>
      </c>
      <c r="D533" s="1934"/>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11" t="s">
        <v>1741</v>
      </c>
      <c r="G534" s="1912"/>
      <c r="H534" s="1912"/>
      <c r="I534" s="1912"/>
      <c r="J534" s="1912"/>
      <c r="K534" s="1912"/>
      <c r="L534" s="1912"/>
      <c r="M534" s="1912"/>
      <c r="N534" s="1912"/>
      <c r="O534" s="1912"/>
      <c r="P534" s="1912"/>
      <c r="Q534" s="1912"/>
      <c r="R534" s="1912"/>
      <c r="S534" s="1912"/>
      <c r="T534" s="1912"/>
      <c r="U534" s="1912"/>
      <c r="V534" s="1912"/>
      <c r="W534" s="1912"/>
      <c r="X534" s="1912"/>
      <c r="Y534" s="1912"/>
      <c r="Z534" s="1912"/>
      <c r="AA534" s="1912"/>
      <c r="AB534" s="1912"/>
      <c r="AC534" s="1912"/>
      <c r="AD534" s="1912"/>
      <c r="AE534" s="1912"/>
      <c r="AF534" s="1912"/>
      <c r="AG534" s="1912"/>
      <c r="AH534" s="1912"/>
      <c r="AI534" s="1912"/>
      <c r="AJ534" s="1912"/>
      <c r="AK534" s="1912"/>
      <c r="AL534" s="1913"/>
      <c r="AM534" s="630"/>
      <c r="AN534" s="632"/>
      <c r="AS534" s="906"/>
      <c r="AT534" s="906"/>
      <c r="AU534" s="906"/>
      <c r="AV534" s="906"/>
      <c r="AW534" s="906"/>
    </row>
    <row r="535" spans="1:49" s="585" customFormat="1" ht="12.75" customHeight="1">
      <c r="B535" s="842"/>
      <c r="C535" s="842"/>
      <c r="D535" s="842"/>
      <c r="E535" s="842"/>
      <c r="F535" s="1911"/>
      <c r="G535" s="1912"/>
      <c r="H535" s="1912"/>
      <c r="I535" s="1912"/>
      <c r="J535" s="1912"/>
      <c r="K535" s="1912"/>
      <c r="L535" s="1912"/>
      <c r="M535" s="1912"/>
      <c r="N535" s="1912"/>
      <c r="O535" s="1912"/>
      <c r="P535" s="1912"/>
      <c r="Q535" s="1912"/>
      <c r="R535" s="1912"/>
      <c r="S535" s="1912"/>
      <c r="T535" s="1912"/>
      <c r="U535" s="1912"/>
      <c r="V535" s="1912"/>
      <c r="W535" s="1912"/>
      <c r="X535" s="1912"/>
      <c r="Y535" s="1912"/>
      <c r="Z535" s="1912"/>
      <c r="AA535" s="1912"/>
      <c r="AB535" s="1912"/>
      <c r="AC535" s="1912"/>
      <c r="AD535" s="1912"/>
      <c r="AE535" s="1912"/>
      <c r="AF535" s="1912"/>
      <c r="AG535" s="1912"/>
      <c r="AH535" s="1912"/>
      <c r="AI535" s="1912"/>
      <c r="AJ535" s="1912"/>
      <c r="AK535" s="1912"/>
      <c r="AL535" s="1913"/>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11" t="s">
        <v>1742</v>
      </c>
      <c r="G537" s="1912"/>
      <c r="H537" s="1912"/>
      <c r="I537" s="1912"/>
      <c r="J537" s="1912"/>
      <c r="K537" s="1912"/>
      <c r="L537" s="1912"/>
      <c r="M537" s="1912"/>
      <c r="N537" s="1912"/>
      <c r="O537" s="1912"/>
      <c r="P537" s="1912"/>
      <c r="Q537" s="1912"/>
      <c r="R537" s="1912"/>
      <c r="S537" s="1912"/>
      <c r="T537" s="1912"/>
      <c r="U537" s="1912"/>
      <c r="V537" s="1912"/>
      <c r="W537" s="1912"/>
      <c r="X537" s="1912"/>
      <c r="Y537" s="1912"/>
      <c r="Z537" s="1912"/>
      <c r="AA537" s="1912"/>
      <c r="AB537" s="1912"/>
      <c r="AC537" s="1912"/>
      <c r="AD537" s="1912"/>
      <c r="AE537" s="1912"/>
      <c r="AF537" s="1912"/>
      <c r="AG537" s="1912"/>
      <c r="AH537" s="1912"/>
      <c r="AI537" s="1912"/>
      <c r="AJ537" s="1912"/>
      <c r="AK537" s="1912"/>
      <c r="AL537" s="849"/>
      <c r="AM537" s="630"/>
      <c r="AN537" s="632"/>
    </row>
    <row r="538" spans="1:49" s="585" customFormat="1" ht="12.75" customHeight="1">
      <c r="B538" s="842"/>
      <c r="C538" s="842"/>
      <c r="D538" s="842"/>
      <c r="E538" s="842"/>
      <c r="F538" s="1914"/>
      <c r="G538" s="1915"/>
      <c r="H538" s="1915"/>
      <c r="I538" s="1915"/>
      <c r="J538" s="1915"/>
      <c r="K538" s="1915"/>
      <c r="L538" s="1915"/>
      <c r="M538" s="1915"/>
      <c r="N538" s="1915"/>
      <c r="O538" s="1915"/>
      <c r="P538" s="1915"/>
      <c r="Q538" s="1915"/>
      <c r="R538" s="1915"/>
      <c r="S538" s="1915"/>
      <c r="T538" s="1915"/>
      <c r="U538" s="1915"/>
      <c r="V538" s="1915"/>
      <c r="W538" s="1915"/>
      <c r="X538" s="1915"/>
      <c r="Y538" s="1915"/>
      <c r="Z538" s="1915"/>
      <c r="AA538" s="1915"/>
      <c r="AB538" s="1915"/>
      <c r="AC538" s="1915"/>
      <c r="AD538" s="1915"/>
      <c r="AE538" s="1915"/>
      <c r="AF538" s="1915"/>
      <c r="AG538" s="1915"/>
      <c r="AH538" s="1915"/>
      <c r="AI538" s="1915"/>
      <c r="AJ538" s="1915"/>
      <c r="AK538" s="191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6">
        <f>Application!AJ961</f>
        <v>31951128</v>
      </c>
      <c r="AQ539" s="1906"/>
      <c r="AR539" s="1906"/>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6">
        <f>'Sources and Uses Budget'!S107+'Sources and Uses Budget'!T107</f>
        <v>37449473</v>
      </c>
      <c r="AG540" s="1916"/>
      <c r="AH540" s="1916"/>
      <c r="AI540" s="1916"/>
      <c r="AJ540" s="1916"/>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7">
        <f>IFERROR(AP548,0)</f>
        <v>68571593.399999991</v>
      </c>
      <c r="AG541" s="1917"/>
      <c r="AH541" s="1917"/>
      <c r="AI541" s="1917"/>
      <c r="AJ541" s="1917"/>
      <c r="AK541" s="630"/>
      <c r="AL541" s="630"/>
      <c r="AM541" s="630"/>
      <c r="AN541" s="632"/>
      <c r="AP541" s="1906">
        <f>Application!AJ1010</f>
        <v>14058496.32</v>
      </c>
      <c r="AQ541" s="1906"/>
      <c r="AR541" s="190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8">
        <f>IFERROR(ROUNDDOWN(IF(C533="YES",((1-(AF540/AF541))*2),(1-(AF540/AF541))),2),0)</f>
        <v>0.45</v>
      </c>
      <c r="AG542" s="1918"/>
      <c r="AH542" s="1918"/>
      <c r="AI542" s="1918"/>
      <c r="AJ542" s="1918"/>
      <c r="AK542" s="630"/>
      <c r="AL542" s="630"/>
      <c r="AM542" s="630"/>
      <c r="AN542" s="632"/>
      <c r="AP542" s="1907">
        <f>Application!AJ1014</f>
        <v>16614586.560000001</v>
      </c>
      <c r="AQ542" s="1907"/>
      <c r="AR542" s="1907"/>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6">
        <f>IF(((AP541+AP542)/AP539)&gt;0.8,0.8,((AP541+AP542)/AP539))</f>
        <v>0.8</v>
      </c>
      <c r="AQ543" s="1926"/>
      <c r="AR543" s="1926"/>
    </row>
    <row r="544" spans="1:49" s="585" customFormat="1" ht="12.75" customHeight="1">
      <c r="A544" s="659"/>
      <c r="B544" s="1972" t="s">
        <v>2430</v>
      </c>
      <c r="C544" s="1973"/>
      <c r="D544" s="1973"/>
      <c r="E544" s="1973"/>
      <c r="F544" s="1973"/>
      <c r="G544" s="1973"/>
      <c r="H544" s="1973"/>
      <c r="I544" s="1973"/>
      <c r="J544" s="1973"/>
      <c r="K544" s="1973"/>
      <c r="L544" s="1973"/>
      <c r="M544" s="1973"/>
      <c r="N544" s="1973"/>
      <c r="O544" s="1973"/>
      <c r="P544" s="1973"/>
      <c r="Q544" s="1973"/>
      <c r="R544" s="1973"/>
      <c r="S544" s="1973"/>
      <c r="T544" s="1973"/>
      <c r="U544" s="1973"/>
      <c r="V544" s="1973"/>
      <c r="W544" s="1973"/>
      <c r="X544" s="1973"/>
      <c r="Y544" s="1973"/>
      <c r="Z544" s="1973"/>
      <c r="AA544" s="1973"/>
      <c r="AB544" s="1973"/>
      <c r="AC544" s="1973"/>
      <c r="AD544" s="1973"/>
      <c r="AE544" s="1973"/>
      <c r="AF544" s="1973"/>
      <c r="AG544" s="1973"/>
      <c r="AH544" s="1973"/>
      <c r="AI544" s="1973"/>
      <c r="AJ544" s="1974"/>
      <c r="AK544" s="630"/>
      <c r="AL544" s="630"/>
      <c r="AM544" s="630"/>
      <c r="AN544" s="632"/>
    </row>
    <row r="545" spans="1:44" s="585" customFormat="1" ht="12.75" customHeight="1">
      <c r="A545" s="659"/>
      <c r="B545" s="1975"/>
      <c r="C545" s="1976"/>
      <c r="D545" s="1976"/>
      <c r="E545" s="1976"/>
      <c r="F545" s="1976"/>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7"/>
      <c r="AK545" s="630"/>
      <c r="AL545" s="630"/>
      <c r="AM545" s="630"/>
      <c r="AN545" s="632"/>
      <c r="AP545" s="1906">
        <f>AP546-AP541-AP542</f>
        <v>43010690.999999993</v>
      </c>
      <c r="AQ545" s="1927"/>
      <c r="AR545" s="1927"/>
    </row>
    <row r="546" spans="1:44" s="585" customFormat="1" ht="12.75" customHeight="1">
      <c r="A546" s="659"/>
      <c r="B546" s="1978"/>
      <c r="C546" s="1979"/>
      <c r="D546" s="1979"/>
      <c r="E546" s="1979"/>
      <c r="F546" s="1979"/>
      <c r="G546" s="1979"/>
      <c r="H546" s="1979"/>
      <c r="I546" s="1979"/>
      <c r="J546" s="1979"/>
      <c r="K546" s="1979"/>
      <c r="L546" s="1979"/>
      <c r="M546" s="1979"/>
      <c r="N546" s="1979"/>
      <c r="O546" s="1979"/>
      <c r="P546" s="1979"/>
      <c r="Q546" s="1979"/>
      <c r="R546" s="1979"/>
      <c r="S546" s="1979"/>
      <c r="T546" s="1979"/>
      <c r="U546" s="1979"/>
      <c r="V546" s="1979"/>
      <c r="W546" s="1979"/>
      <c r="X546" s="1979"/>
      <c r="Y546" s="1979"/>
      <c r="Z546" s="1979"/>
      <c r="AA546" s="1979"/>
      <c r="AB546" s="1979"/>
      <c r="AC546" s="1979"/>
      <c r="AD546" s="1979"/>
      <c r="AE546" s="1979"/>
      <c r="AF546" s="1979"/>
      <c r="AG546" s="1979"/>
      <c r="AH546" s="1979"/>
      <c r="AI546" s="1979"/>
      <c r="AJ546" s="1980"/>
      <c r="AK546" s="630"/>
      <c r="AL546" s="630"/>
      <c r="AM546" s="630"/>
      <c r="AN546" s="632"/>
      <c r="AP546" s="1906">
        <f>Application!AJ1018</f>
        <v>73683773.879999995</v>
      </c>
      <c r="AQ546" s="1906"/>
      <c r="AR546" s="190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81">
        <f>IFERROR(IF(AND(C530="N/A",C533="N/A"),0,IF(AF542=0,0,IF((AF542*100)&gt;12,12,(AF542*100)))),0)</f>
        <v>12</v>
      </c>
      <c r="AL548" s="1981"/>
      <c r="AM548" s="1982"/>
      <c r="AN548" s="632"/>
      <c r="AP548" s="1895">
        <f>AP545+(AP539*AP543)</f>
        <v>68571593.399999991</v>
      </c>
      <c r="AQ548" s="1896"/>
      <c r="AR548" s="189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5" t="s">
        <v>1487</v>
      </c>
      <c r="AF551" s="1925"/>
      <c r="AG551" s="1925"/>
      <c r="AH551" s="1925"/>
      <c r="AI551" s="1925"/>
      <c r="AJ551" s="1925"/>
      <c r="AK551" s="192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12" t="s">
        <v>2421</v>
      </c>
      <c r="C553" s="1912"/>
      <c r="D553" s="1912"/>
      <c r="E553" s="1912"/>
      <c r="F553" s="1912"/>
      <c r="G553" s="1912"/>
      <c r="H553" s="1912"/>
      <c r="I553" s="1912"/>
      <c r="J553" s="1912"/>
      <c r="K553" s="1912"/>
      <c r="L553" s="1912"/>
      <c r="M553" s="1912"/>
      <c r="N553" s="1912"/>
      <c r="O553" s="1912"/>
      <c r="P553" s="1912"/>
      <c r="Q553" s="1912"/>
      <c r="R553" s="1912"/>
      <c r="S553" s="1912"/>
      <c r="T553" s="1912"/>
      <c r="U553" s="1912"/>
      <c r="V553" s="1912"/>
      <c r="W553" s="1912"/>
      <c r="X553" s="1912"/>
      <c r="Y553" s="1912"/>
      <c r="Z553" s="1912"/>
      <c r="AA553" s="1912"/>
      <c r="AB553" s="1912"/>
      <c r="AC553" s="1912"/>
      <c r="AD553" s="1912"/>
      <c r="AE553" s="1912"/>
      <c r="AF553" s="1912"/>
      <c r="AG553" s="1912"/>
      <c r="AH553" s="1912"/>
      <c r="AI553" s="1912"/>
      <c r="AJ553" s="1912"/>
      <c r="AK553" s="677"/>
      <c r="AL553" s="608"/>
      <c r="AM553" s="638"/>
      <c r="AN553" s="632"/>
    </row>
    <row r="554" spans="1:44" s="585" customFormat="1" ht="12.75" customHeight="1">
      <c r="A554" s="638"/>
      <c r="B554" s="1912"/>
      <c r="C554" s="1912"/>
      <c r="D554" s="1912"/>
      <c r="E554" s="1912"/>
      <c r="F554" s="1912"/>
      <c r="G554" s="1912"/>
      <c r="H554" s="1912"/>
      <c r="I554" s="1912"/>
      <c r="J554" s="1912"/>
      <c r="K554" s="1912"/>
      <c r="L554" s="1912"/>
      <c r="M554" s="1912"/>
      <c r="N554" s="1912"/>
      <c r="O554" s="1912"/>
      <c r="P554" s="1912"/>
      <c r="Q554" s="1912"/>
      <c r="R554" s="1912"/>
      <c r="S554" s="1912"/>
      <c r="T554" s="1912"/>
      <c r="U554" s="1912"/>
      <c r="V554" s="1912"/>
      <c r="W554" s="1912"/>
      <c r="X554" s="1912"/>
      <c r="Y554" s="1912"/>
      <c r="Z554" s="1912"/>
      <c r="AA554" s="1912"/>
      <c r="AB554" s="1912"/>
      <c r="AC554" s="1912"/>
      <c r="AD554" s="1912"/>
      <c r="AE554" s="1912"/>
      <c r="AF554" s="1912"/>
      <c r="AG554" s="1912"/>
      <c r="AH554" s="1912"/>
      <c r="AI554" s="1912"/>
      <c r="AJ554" s="1912"/>
      <c r="AK554" s="677"/>
      <c r="AL554" s="608"/>
      <c r="AM554" s="638"/>
      <c r="AN554" s="632"/>
    </row>
    <row r="555" spans="1:44" s="585" customFormat="1" ht="12.75" customHeight="1">
      <c r="A555" s="638"/>
      <c r="B555" s="1912"/>
      <c r="C555" s="1912"/>
      <c r="D555" s="1912"/>
      <c r="E555" s="1912"/>
      <c r="F555" s="1912"/>
      <c r="G555" s="1912"/>
      <c r="H555" s="1912"/>
      <c r="I555" s="1912"/>
      <c r="J555" s="1912"/>
      <c r="K555" s="1912"/>
      <c r="L555" s="1912"/>
      <c r="M555" s="1912"/>
      <c r="N555" s="1912"/>
      <c r="O555" s="1912"/>
      <c r="P555" s="1912"/>
      <c r="Q555" s="1912"/>
      <c r="R555" s="1912"/>
      <c r="S555" s="1912"/>
      <c r="T555" s="1912"/>
      <c r="U555" s="1912"/>
      <c r="V555" s="1912"/>
      <c r="W555" s="1912"/>
      <c r="X555" s="1912"/>
      <c r="Y555" s="1912"/>
      <c r="Z555" s="1912"/>
      <c r="AA555" s="1912"/>
      <c r="AB555" s="1912"/>
      <c r="AC555" s="1912"/>
      <c r="AD555" s="1912"/>
      <c r="AE555" s="1912"/>
      <c r="AF555" s="1912"/>
      <c r="AG555" s="1912"/>
      <c r="AH555" s="1912"/>
      <c r="AI555" s="1912"/>
      <c r="AJ555" s="1912"/>
      <c r="AK555" s="677"/>
      <c r="AL555" s="608"/>
      <c r="AM555" s="638"/>
      <c r="AN555" s="632"/>
    </row>
    <row r="556" spans="1:44" s="585" customFormat="1" ht="12.75" customHeight="1">
      <c r="A556" s="638"/>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677"/>
      <c r="AL556" s="608"/>
      <c r="AM556" s="638"/>
      <c r="AN556" s="632"/>
    </row>
    <row r="557" spans="1:44" s="585" customFormat="1" ht="12.75" customHeight="1">
      <c r="A557" s="638"/>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677"/>
      <c r="AL557" s="608"/>
      <c r="AM557" s="638"/>
      <c r="AN557" s="632"/>
    </row>
    <row r="558" spans="1:44" s="585" customFormat="1" ht="12.75" customHeight="1">
      <c r="A558" s="638"/>
      <c r="B558" s="1912"/>
      <c r="C558" s="1912"/>
      <c r="D558" s="1912"/>
      <c r="E558" s="1912"/>
      <c r="F558" s="1912"/>
      <c r="G558" s="1912"/>
      <c r="H558" s="1912"/>
      <c r="I558" s="1912"/>
      <c r="J558" s="1912"/>
      <c r="K558" s="1912"/>
      <c r="L558" s="1912"/>
      <c r="M558" s="1912"/>
      <c r="N558" s="1912"/>
      <c r="O558" s="1912"/>
      <c r="P558" s="1912"/>
      <c r="Q558" s="1912"/>
      <c r="R558" s="1912"/>
      <c r="S558" s="1912"/>
      <c r="T558" s="1912"/>
      <c r="U558" s="1912"/>
      <c r="V558" s="1912"/>
      <c r="W558" s="1912"/>
      <c r="X558" s="1912"/>
      <c r="Y558" s="1912"/>
      <c r="Z558" s="1912"/>
      <c r="AA558" s="1912"/>
      <c r="AB558" s="1912"/>
      <c r="AC558" s="1912"/>
      <c r="AD558" s="1912"/>
      <c r="AE558" s="1912"/>
      <c r="AF558" s="1912"/>
      <c r="AG558" s="1912"/>
      <c r="AH558" s="1912"/>
      <c r="AI558" s="1912"/>
      <c r="AJ558" s="1912"/>
      <c r="AK558" s="677"/>
      <c r="AL558" s="608"/>
      <c r="AM558" s="638"/>
      <c r="AN558" s="632"/>
    </row>
    <row r="559" spans="1:44" s="585" customFormat="1" ht="12.75" customHeight="1">
      <c r="A559" s="638"/>
      <c r="B559" s="1912"/>
      <c r="C559" s="1912"/>
      <c r="D559" s="1912"/>
      <c r="E559" s="1912"/>
      <c r="F559" s="1912"/>
      <c r="G559" s="1912"/>
      <c r="H559" s="1912"/>
      <c r="I559" s="1912"/>
      <c r="J559" s="1912"/>
      <c r="K559" s="1912"/>
      <c r="L559" s="1912"/>
      <c r="M559" s="1912"/>
      <c r="N559" s="1912"/>
      <c r="O559" s="1912"/>
      <c r="P559" s="1912"/>
      <c r="Q559" s="1912"/>
      <c r="R559" s="1912"/>
      <c r="S559" s="1912"/>
      <c r="T559" s="1912"/>
      <c r="U559" s="1912"/>
      <c r="V559" s="1912"/>
      <c r="W559" s="1912"/>
      <c r="X559" s="1912"/>
      <c r="Y559" s="1912"/>
      <c r="Z559" s="1912"/>
      <c r="AA559" s="1912"/>
      <c r="AB559" s="1912"/>
      <c r="AC559" s="1912"/>
      <c r="AD559" s="1912"/>
      <c r="AE559" s="1912"/>
      <c r="AF559" s="1912"/>
      <c r="AG559" s="1912"/>
      <c r="AH559" s="1912"/>
      <c r="AI559" s="1912"/>
      <c r="AJ559" s="1912"/>
      <c r="AK559" s="677"/>
      <c r="AL559" s="608"/>
      <c r="AM559" s="638"/>
      <c r="AN559" s="632"/>
    </row>
    <row r="560" spans="1:44" ht="12.75" customHeight="1">
      <c r="A560" s="638"/>
      <c r="B560" s="1912"/>
      <c r="C560" s="1912"/>
      <c r="D560" s="1912"/>
      <c r="E560" s="1912"/>
      <c r="F560" s="1912"/>
      <c r="G560" s="1912"/>
      <c r="H560" s="1912"/>
      <c r="I560" s="1912"/>
      <c r="J560" s="1912"/>
      <c r="K560" s="1912"/>
      <c r="L560" s="1912"/>
      <c r="M560" s="1912"/>
      <c r="N560" s="1912"/>
      <c r="O560" s="1912"/>
      <c r="P560" s="1912"/>
      <c r="Q560" s="1912"/>
      <c r="R560" s="1912"/>
      <c r="S560" s="1912"/>
      <c r="T560" s="1912"/>
      <c r="U560" s="1912"/>
      <c r="V560" s="1912"/>
      <c r="W560" s="1912"/>
      <c r="X560" s="1912"/>
      <c r="Y560" s="1912"/>
      <c r="Z560" s="1912"/>
      <c r="AA560" s="1912"/>
      <c r="AB560" s="1912"/>
      <c r="AC560" s="1912"/>
      <c r="AD560" s="1912"/>
      <c r="AE560" s="1912"/>
      <c r="AF560" s="1912"/>
      <c r="AG560" s="1912"/>
      <c r="AH560" s="1912"/>
      <c r="AI560" s="1912"/>
      <c r="AJ560" s="1912"/>
      <c r="AK560" s="677"/>
      <c r="AL560" s="608"/>
      <c r="AM560" s="638"/>
    </row>
    <row r="561" spans="1:42" s="585" customFormat="1" ht="12.75" customHeight="1">
      <c r="B561" s="1912"/>
      <c r="C561" s="1912"/>
      <c r="D561" s="1912"/>
      <c r="E561" s="1912"/>
      <c r="F561" s="1912"/>
      <c r="G561" s="1912"/>
      <c r="H561" s="1912"/>
      <c r="I561" s="1912"/>
      <c r="J561" s="1912"/>
      <c r="K561" s="1912"/>
      <c r="L561" s="1912"/>
      <c r="M561" s="1912"/>
      <c r="N561" s="1912"/>
      <c r="O561" s="1912"/>
      <c r="P561" s="1912"/>
      <c r="Q561" s="1912"/>
      <c r="R561" s="1912"/>
      <c r="S561" s="1912"/>
      <c r="T561" s="1912"/>
      <c r="U561" s="1912"/>
      <c r="V561" s="1912"/>
      <c r="W561" s="1912"/>
      <c r="X561" s="1912"/>
      <c r="Y561" s="1912"/>
      <c r="Z561" s="1912"/>
      <c r="AA561" s="1912"/>
      <c r="AB561" s="1912"/>
      <c r="AC561" s="1912"/>
      <c r="AD561" s="1912"/>
      <c r="AE561" s="1912"/>
      <c r="AF561" s="1912"/>
      <c r="AG561" s="1912"/>
      <c r="AH561" s="1912"/>
      <c r="AI561" s="1912"/>
      <c r="AJ561" s="191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92" t="s">
        <v>1511</v>
      </c>
      <c r="AG567" s="1992"/>
      <c r="AH567" s="1992"/>
      <c r="AI567" s="1992"/>
      <c r="AJ567" s="1992"/>
      <c r="AK567" s="1992"/>
      <c r="AL567" s="1992"/>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92" t="s">
        <v>1569</v>
      </c>
      <c r="AG574" s="1992"/>
      <c r="AH574" s="1992"/>
      <c r="AI574" s="1992"/>
      <c r="AJ574" s="1992"/>
      <c r="AK574" s="1992"/>
      <c r="AL574" s="1992"/>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92" t="s">
        <v>1551</v>
      </c>
      <c r="AG580" s="1992"/>
      <c r="AH580" s="1992"/>
      <c r="AI580" s="1992"/>
      <c r="AJ580" s="1992"/>
      <c r="AK580" s="1992"/>
      <c r="AL580" s="1992"/>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92" t="s">
        <v>1572</v>
      </c>
      <c r="AG586" s="1992"/>
      <c r="AH586" s="1992"/>
      <c r="AI586" s="1992"/>
      <c r="AJ586" s="1992"/>
      <c r="AK586" s="1992"/>
      <c r="AL586" s="1992"/>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30" t="s">
        <v>1327</v>
      </c>
      <c r="P590" s="2030"/>
      <c r="Q590" s="2030"/>
      <c r="R590" s="2030"/>
      <c r="S590" s="2030"/>
      <c r="T590" s="2030"/>
      <c r="U590" s="2030"/>
      <c r="V590" s="2030"/>
      <c r="W590" s="2030"/>
      <c r="X590" s="2030"/>
      <c r="Y590" s="2030"/>
      <c r="Z590" s="2030"/>
      <c r="AA590" s="2030"/>
      <c r="AB590" s="203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92" t="s">
        <v>1525</v>
      </c>
      <c r="AG592" s="1992"/>
      <c r="AH592" s="1992"/>
      <c r="AI592" s="1992"/>
      <c r="AJ592" s="1992"/>
      <c r="AK592" s="1992"/>
      <c r="AL592" s="1992"/>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36" t="s">
        <v>1570</v>
      </c>
      <c r="I595" s="193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29" t="s">
        <v>601</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27" t="s">
        <v>601</v>
      </c>
      <c r="C605" s="2027"/>
      <c r="D605" s="677"/>
      <c r="E605" s="1912" t="s">
        <v>1576</v>
      </c>
      <c r="F605" s="1912"/>
      <c r="G605" s="1912"/>
      <c r="H605" s="1912"/>
      <c r="I605" s="1912"/>
      <c r="J605" s="1912"/>
      <c r="K605" s="1912"/>
      <c r="L605" s="1912"/>
      <c r="M605" s="1912"/>
      <c r="N605" s="1912"/>
      <c r="O605" s="1912"/>
      <c r="P605" s="1912"/>
      <c r="Q605" s="1912"/>
      <c r="R605" s="1912"/>
      <c r="S605" s="1912"/>
      <c r="T605" s="1912"/>
      <c r="U605" s="1912"/>
      <c r="V605" s="1912"/>
      <c r="W605" s="1912"/>
      <c r="X605" s="1912"/>
      <c r="Y605" s="1912"/>
      <c r="Z605" s="1912"/>
      <c r="AA605" s="1912"/>
      <c r="AB605" s="1912"/>
      <c r="AC605" s="1912"/>
      <c r="AD605" s="1912"/>
      <c r="AE605" s="1912"/>
      <c r="AF605" s="1912"/>
      <c r="AG605" s="1912"/>
      <c r="AH605" s="677"/>
      <c r="AI605" s="677"/>
      <c r="AJ605" s="677"/>
      <c r="AK605" s="677"/>
      <c r="AL605" s="677"/>
      <c r="AN605" s="632"/>
    </row>
    <row r="606" spans="2:47" s="585" customFormat="1" ht="12.75" customHeight="1">
      <c r="B606" s="571"/>
      <c r="C606" s="970"/>
      <c r="D606" s="677"/>
      <c r="E606" s="1912"/>
      <c r="F606" s="1912"/>
      <c r="G606" s="1912"/>
      <c r="H606" s="1912"/>
      <c r="I606" s="1912"/>
      <c r="J606" s="1912"/>
      <c r="K606" s="1912"/>
      <c r="L606" s="1912"/>
      <c r="M606" s="1912"/>
      <c r="N606" s="1912"/>
      <c r="O606" s="1912"/>
      <c r="P606" s="1912"/>
      <c r="Q606" s="1912"/>
      <c r="R606" s="1912"/>
      <c r="S606" s="1912"/>
      <c r="T606" s="1912"/>
      <c r="U606" s="1912"/>
      <c r="V606" s="1912"/>
      <c r="W606" s="1912"/>
      <c r="X606" s="1912"/>
      <c r="Y606" s="1912"/>
      <c r="Z606" s="1912"/>
      <c r="AA606" s="1912"/>
      <c r="AB606" s="1912"/>
      <c r="AC606" s="1912"/>
      <c r="AD606" s="1912"/>
      <c r="AE606" s="1912"/>
      <c r="AF606" s="1912"/>
      <c r="AG606" s="1912"/>
      <c r="AH606" s="677"/>
      <c r="AI606" s="677"/>
      <c r="AJ606" s="677"/>
      <c r="AK606" s="677"/>
      <c r="AL606" s="677"/>
      <c r="AN606" s="632"/>
    </row>
    <row r="607" spans="2:47" s="585" customFormat="1" ht="12.75" customHeight="1">
      <c r="B607" s="571"/>
      <c r="C607" s="970"/>
      <c r="D607" s="677"/>
      <c r="E607" s="1912"/>
      <c r="F607" s="1912"/>
      <c r="G607" s="1912"/>
      <c r="H607" s="1912"/>
      <c r="I607" s="1912"/>
      <c r="J607" s="1912"/>
      <c r="K607" s="1912"/>
      <c r="L607" s="1912"/>
      <c r="M607" s="1912"/>
      <c r="N607" s="1912"/>
      <c r="O607" s="1912"/>
      <c r="P607" s="1912"/>
      <c r="Q607" s="1912"/>
      <c r="R607" s="1912"/>
      <c r="S607" s="1912"/>
      <c r="T607" s="1912"/>
      <c r="U607" s="1912"/>
      <c r="V607" s="1912"/>
      <c r="W607" s="1912"/>
      <c r="X607" s="1912"/>
      <c r="Y607" s="1912"/>
      <c r="Z607" s="1912"/>
      <c r="AA607" s="1912"/>
      <c r="AB607" s="1912"/>
      <c r="AC607" s="1912"/>
      <c r="AD607" s="1912"/>
      <c r="AE607" s="1912"/>
      <c r="AF607" s="1912"/>
      <c r="AG607" s="1912"/>
      <c r="AH607" s="677"/>
      <c r="AI607" s="677"/>
      <c r="AJ607" s="677"/>
      <c r="AK607" s="677"/>
      <c r="AL607" s="677"/>
      <c r="AN607" s="632"/>
    </row>
    <row r="608" spans="2:47" s="585" customFormat="1" ht="12.75" customHeight="1">
      <c r="B608" s="571"/>
      <c r="C608" s="970"/>
      <c r="D608" s="677"/>
      <c r="E608" s="1912"/>
      <c r="F608" s="1912"/>
      <c r="G608" s="1912"/>
      <c r="H608" s="1912"/>
      <c r="I608" s="1912"/>
      <c r="J608" s="1912"/>
      <c r="K608" s="1912"/>
      <c r="L608" s="1912"/>
      <c r="M608" s="1912"/>
      <c r="N608" s="1912"/>
      <c r="O608" s="1912"/>
      <c r="P608" s="1912"/>
      <c r="Q608" s="1912"/>
      <c r="R608" s="1912"/>
      <c r="S608" s="1912"/>
      <c r="T608" s="1912"/>
      <c r="U608" s="1912"/>
      <c r="V608" s="1912"/>
      <c r="W608" s="1912"/>
      <c r="X608" s="1912"/>
      <c r="Y608" s="1912"/>
      <c r="Z608" s="1912"/>
      <c r="AA608" s="1912"/>
      <c r="AB608" s="1912"/>
      <c r="AC608" s="1912"/>
      <c r="AD608" s="1912"/>
      <c r="AE608" s="1912"/>
      <c r="AF608" s="1912"/>
      <c r="AG608" s="191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19">
        <f>VLOOKUP($H$595,$AO$575:$AP$580,2,FALSE)+VLOOKUP($I$603,$AO$602:$AP$604,2,FALSE)</f>
        <v>4</v>
      </c>
      <c r="AK610" s="192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28" t="s">
        <v>1955</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4"/>
      <c r="AF614" s="1992" t="s">
        <v>1525</v>
      </c>
      <c r="AG614" s="1992"/>
      <c r="AH614" s="1992"/>
      <c r="AI614" s="1992"/>
      <c r="AJ614" s="1992"/>
      <c r="AK614" s="1992"/>
      <c r="AL614" s="1992"/>
      <c r="AM614" s="585"/>
      <c r="AN614" s="713"/>
    </row>
    <row r="615" spans="1:42" s="585" customFormat="1" ht="12.75" customHeight="1">
      <c r="A615" s="714"/>
      <c r="B615" s="571"/>
      <c r="C615" s="970"/>
      <c r="D615" s="698"/>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1"/>
      <c r="AF615" s="571"/>
      <c r="AG615" s="571"/>
      <c r="AH615" s="571"/>
      <c r="AI615" s="571"/>
      <c r="AJ615" s="571"/>
      <c r="AK615" s="571"/>
      <c r="AL615" s="571"/>
      <c r="AN615" s="632"/>
    </row>
    <row r="616" spans="1:42" s="585" customFormat="1" ht="12.75" customHeight="1">
      <c r="B616" s="571"/>
      <c r="C616" s="968"/>
      <c r="D616" s="698"/>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1"/>
      <c r="AF616" s="571"/>
      <c r="AG616" s="571"/>
      <c r="AH616" s="571"/>
      <c r="AI616" s="571"/>
      <c r="AJ616" s="571"/>
      <c r="AK616" s="571"/>
      <c r="AL616" s="571"/>
      <c r="AN616" s="632"/>
    </row>
    <row r="617" spans="1:42" s="585" customFormat="1" ht="12.75" customHeight="1">
      <c r="B617" s="571"/>
      <c r="C617" s="968"/>
      <c r="D617" s="698"/>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1"/>
      <c r="AF617" s="571"/>
      <c r="AG617" s="571"/>
      <c r="AH617" s="571"/>
      <c r="AI617" s="571"/>
      <c r="AJ617" s="571"/>
      <c r="AK617" s="571"/>
      <c r="AL617" s="571"/>
      <c r="AN617" s="632"/>
    </row>
    <row r="618" spans="1:42" s="585" customFormat="1" ht="12.75" customHeight="1">
      <c r="B618" s="571"/>
      <c r="C618" s="968"/>
      <c r="D618" s="698"/>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1"/>
      <c r="AF618" s="571"/>
      <c r="AG618" s="571"/>
      <c r="AH618" s="571"/>
      <c r="AI618" s="571"/>
      <c r="AJ618" s="571"/>
      <c r="AK618" s="571"/>
      <c r="AL618" s="571"/>
      <c r="AN618" s="632"/>
    </row>
    <row r="619" spans="1:42" s="585" customFormat="1" ht="12.75" customHeight="1">
      <c r="B619" s="571"/>
      <c r="C619" s="968"/>
      <c r="D619" s="698"/>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1"/>
      <c r="AF619" s="571"/>
      <c r="AG619" s="571"/>
      <c r="AH619" s="571"/>
      <c r="AI619" s="571"/>
      <c r="AJ619" s="571"/>
      <c r="AK619" s="571"/>
      <c r="AL619" s="571"/>
      <c r="AN619" s="632"/>
    </row>
    <row r="620" spans="1:42" s="585" customFormat="1" ht="12.75" customHeight="1">
      <c r="A620" s="672"/>
      <c r="B620" s="651"/>
      <c r="C620" s="977"/>
      <c r="D620" s="698"/>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1"/>
      <c r="AF620" s="651"/>
      <c r="AG620" s="651"/>
      <c r="AH620" s="651"/>
      <c r="AI620" s="651"/>
      <c r="AJ620" s="651"/>
      <c r="AK620" s="571"/>
      <c r="AL620" s="571"/>
      <c r="AN620" s="632"/>
    </row>
    <row r="621" spans="1:42" s="585" customFormat="1" ht="12.75" customHeight="1">
      <c r="B621" s="651"/>
      <c r="C621" s="977"/>
      <c r="D621" s="698"/>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27" t="s">
        <v>601</v>
      </c>
      <c r="Y623" s="2027"/>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92" t="s">
        <v>1581</v>
      </c>
      <c r="AG625" s="1992"/>
      <c r="AH625" s="1992"/>
      <c r="AI625" s="1992"/>
      <c r="AJ625" s="1992"/>
      <c r="AK625" s="1992"/>
      <c r="AL625" s="1992"/>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36" t="s">
        <v>601</v>
      </c>
      <c r="I627" s="193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19">
        <f>VLOOKUP($H$627,$AO$594:$AP$596,2,FALSE)</f>
        <v>0</v>
      </c>
      <c r="AK629" s="1921"/>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12" t="s">
        <v>2521</v>
      </c>
      <c r="F633" s="1912"/>
      <c r="G633" s="1912"/>
      <c r="H633" s="1912"/>
      <c r="I633" s="1912"/>
      <c r="J633" s="1912"/>
      <c r="K633" s="1912"/>
      <c r="L633" s="1912"/>
      <c r="M633" s="1912"/>
      <c r="N633" s="1912"/>
      <c r="O633" s="1912"/>
      <c r="P633" s="1912"/>
      <c r="Q633" s="1912"/>
      <c r="R633" s="1912"/>
      <c r="S633" s="1912"/>
      <c r="T633" s="1912"/>
      <c r="U633" s="1912"/>
      <c r="V633" s="1912"/>
      <c r="W633" s="1912"/>
      <c r="X633" s="1912"/>
      <c r="Y633" s="1912"/>
      <c r="Z633" s="1912"/>
      <c r="AA633" s="1912"/>
      <c r="AB633" s="1912"/>
      <c r="AC633" s="1912"/>
      <c r="AD633" s="1912"/>
      <c r="AE633" s="571"/>
      <c r="AF633" s="1992" t="s">
        <v>1525</v>
      </c>
      <c r="AG633" s="1992"/>
      <c r="AH633" s="1992"/>
      <c r="AI633" s="1992"/>
      <c r="AJ633" s="1992"/>
      <c r="AK633" s="1992"/>
      <c r="AL633" s="1992"/>
      <c r="AN633" s="632"/>
    </row>
    <row r="634" spans="1:42" s="585" customFormat="1" ht="12.75" customHeight="1">
      <c r="B634" s="571"/>
      <c r="C634" s="571"/>
      <c r="D634" s="698"/>
      <c r="E634" s="1912"/>
      <c r="F634" s="1912"/>
      <c r="G634" s="1912"/>
      <c r="H634" s="1912"/>
      <c r="I634" s="1912"/>
      <c r="J634" s="1912"/>
      <c r="K634" s="1912"/>
      <c r="L634" s="1912"/>
      <c r="M634" s="1912"/>
      <c r="N634" s="1912"/>
      <c r="O634" s="1912"/>
      <c r="P634" s="1912"/>
      <c r="Q634" s="1912"/>
      <c r="R634" s="1912"/>
      <c r="S634" s="1912"/>
      <c r="T634" s="1912"/>
      <c r="U634" s="1912"/>
      <c r="V634" s="1912"/>
      <c r="W634" s="1912"/>
      <c r="X634" s="1912"/>
      <c r="Y634" s="1912"/>
      <c r="Z634" s="1912"/>
      <c r="AA634" s="1912"/>
      <c r="AB634" s="1912"/>
      <c r="AC634" s="1912"/>
      <c r="AD634" s="191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92" t="s">
        <v>1581</v>
      </c>
      <c r="AG636" s="1992"/>
      <c r="AH636" s="1992"/>
      <c r="AI636" s="1992"/>
      <c r="AJ636" s="1992"/>
      <c r="AK636" s="1992"/>
      <c r="AL636" s="1992"/>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36" t="s">
        <v>601</v>
      </c>
      <c r="I639" s="193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19">
        <f>VLOOKUP(H639,AT594:AU596,2,FALSE)</f>
        <v>0</v>
      </c>
      <c r="AK641" s="192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12" t="s">
        <v>1591</v>
      </c>
      <c r="F646" s="1912"/>
      <c r="G646" s="1912"/>
      <c r="H646" s="1912"/>
      <c r="I646" s="1912"/>
      <c r="J646" s="1912"/>
      <c r="K646" s="1912"/>
      <c r="L646" s="1912"/>
      <c r="M646" s="1912"/>
      <c r="N646" s="1912"/>
      <c r="O646" s="1912"/>
      <c r="P646" s="1912"/>
      <c r="Q646" s="1912"/>
      <c r="R646" s="1912"/>
      <c r="S646" s="1912"/>
      <c r="T646" s="1912"/>
      <c r="U646" s="1912"/>
      <c r="V646" s="1912"/>
      <c r="W646" s="1912"/>
      <c r="X646" s="1912"/>
      <c r="Y646" s="1912"/>
      <c r="Z646" s="1912"/>
      <c r="AA646" s="1912"/>
      <c r="AB646" s="1912"/>
      <c r="AC646" s="1912"/>
      <c r="AD646" s="571"/>
      <c r="AE646" s="571"/>
      <c r="AF646" s="1992" t="s">
        <v>1551</v>
      </c>
      <c r="AG646" s="1992"/>
      <c r="AH646" s="1992"/>
      <c r="AI646" s="1992"/>
      <c r="AJ646" s="1992"/>
      <c r="AK646" s="1992"/>
      <c r="AL646" s="1992"/>
      <c r="AN646" s="632"/>
    </row>
    <row r="647" spans="1:42" s="585" customFormat="1" ht="12.75" customHeight="1">
      <c r="B647" s="571"/>
      <c r="C647" s="574"/>
      <c r="D647" s="571"/>
      <c r="E647" s="1912"/>
      <c r="F647" s="1912"/>
      <c r="G647" s="1912"/>
      <c r="H647" s="1912"/>
      <c r="I647" s="1912"/>
      <c r="J647" s="1912"/>
      <c r="K647" s="1912"/>
      <c r="L647" s="1912"/>
      <c r="M647" s="1912"/>
      <c r="N647" s="1912"/>
      <c r="O647" s="1912"/>
      <c r="P647" s="1912"/>
      <c r="Q647" s="1912"/>
      <c r="R647" s="1912"/>
      <c r="S647" s="1912"/>
      <c r="T647" s="1912"/>
      <c r="U647" s="1912"/>
      <c r="V647" s="1912"/>
      <c r="W647" s="1912"/>
      <c r="X647" s="1912"/>
      <c r="Y647" s="1912"/>
      <c r="Z647" s="1912"/>
      <c r="AA647" s="1912"/>
      <c r="AB647" s="1912"/>
      <c r="AC647" s="1912"/>
      <c r="AD647" s="571"/>
      <c r="AE647" s="571"/>
      <c r="AF647" s="571"/>
      <c r="AG647" s="571"/>
      <c r="AH647" s="571"/>
      <c r="AI647" s="571"/>
      <c r="AJ647" s="571"/>
      <c r="AK647" s="571"/>
      <c r="AL647" s="571"/>
      <c r="AN647" s="632"/>
    </row>
    <row r="648" spans="1:42" s="585" customFormat="1" ht="12.75" customHeight="1">
      <c r="B648" s="571"/>
      <c r="C648" s="574"/>
      <c r="D648" s="698"/>
      <c r="E648" s="1912"/>
      <c r="F648" s="1912"/>
      <c r="G648" s="1912"/>
      <c r="H648" s="1912"/>
      <c r="I648" s="1912"/>
      <c r="J648" s="1912"/>
      <c r="K648" s="1912"/>
      <c r="L648" s="1912"/>
      <c r="M648" s="1912"/>
      <c r="N648" s="1912"/>
      <c r="O648" s="1912"/>
      <c r="P648" s="1912"/>
      <c r="Q648" s="1912"/>
      <c r="R648" s="1912"/>
      <c r="S648" s="1912"/>
      <c r="T648" s="1912"/>
      <c r="U648" s="1912"/>
      <c r="V648" s="1912"/>
      <c r="W648" s="1912"/>
      <c r="X648" s="1912"/>
      <c r="Y648" s="1912"/>
      <c r="Z648" s="1912"/>
      <c r="AA648" s="1912"/>
      <c r="AB648" s="1912"/>
      <c r="AC648" s="191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12" t="s">
        <v>1592</v>
      </c>
      <c r="F650" s="1912"/>
      <c r="G650" s="1912"/>
      <c r="H650" s="1912"/>
      <c r="I650" s="1912"/>
      <c r="J650" s="1912"/>
      <c r="K650" s="1912"/>
      <c r="L650" s="1912"/>
      <c r="M650" s="1912"/>
      <c r="N650" s="1912"/>
      <c r="O650" s="1912"/>
      <c r="P650" s="1912"/>
      <c r="Q650" s="1912"/>
      <c r="R650" s="1912"/>
      <c r="S650" s="1912"/>
      <c r="T650" s="1912"/>
      <c r="U650" s="1912"/>
      <c r="V650" s="1912"/>
      <c r="W650" s="1912"/>
      <c r="X650" s="1912"/>
      <c r="Y650" s="1912"/>
      <c r="Z650" s="1912"/>
      <c r="AA650" s="1912"/>
      <c r="AB650" s="1912"/>
      <c r="AC650" s="1912"/>
      <c r="AD650" s="571"/>
      <c r="AE650" s="571"/>
      <c r="AF650" s="1992" t="s">
        <v>1572</v>
      </c>
      <c r="AG650" s="1992"/>
      <c r="AH650" s="1992"/>
      <c r="AI650" s="1992"/>
      <c r="AJ650" s="1992"/>
      <c r="AK650" s="1992"/>
      <c r="AL650" s="1992"/>
      <c r="AN650" s="632"/>
    </row>
    <row r="651" spans="1:42" s="585" customFormat="1" ht="12.75" customHeight="1">
      <c r="B651" s="571"/>
      <c r="C651" s="574"/>
      <c r="D651" s="571"/>
      <c r="E651" s="1912"/>
      <c r="F651" s="1912"/>
      <c r="G651" s="1912"/>
      <c r="H651" s="1912"/>
      <c r="I651" s="1912"/>
      <c r="J651" s="1912"/>
      <c r="K651" s="1912"/>
      <c r="L651" s="1912"/>
      <c r="M651" s="1912"/>
      <c r="N651" s="1912"/>
      <c r="O651" s="1912"/>
      <c r="P651" s="1912"/>
      <c r="Q651" s="1912"/>
      <c r="R651" s="1912"/>
      <c r="S651" s="1912"/>
      <c r="T651" s="1912"/>
      <c r="U651" s="1912"/>
      <c r="V651" s="1912"/>
      <c r="W651" s="1912"/>
      <c r="X651" s="1912"/>
      <c r="Y651" s="1912"/>
      <c r="Z651" s="1912"/>
      <c r="AA651" s="1912"/>
      <c r="AB651" s="1912"/>
      <c r="AC651" s="1912"/>
      <c r="AD651" s="571"/>
      <c r="AE651" s="571"/>
      <c r="AF651" s="571"/>
      <c r="AG651" s="571"/>
      <c r="AH651" s="571"/>
      <c r="AI651" s="571"/>
      <c r="AJ651" s="571"/>
      <c r="AK651" s="571"/>
      <c r="AL651" s="571"/>
      <c r="AN651" s="632"/>
    </row>
    <row r="652" spans="1:42" s="585" customFormat="1" ht="15" customHeight="1">
      <c r="B652" s="571"/>
      <c r="C652" s="574"/>
      <c r="D652" s="698"/>
      <c r="E652" s="1912"/>
      <c r="F652" s="1912"/>
      <c r="G652" s="1912"/>
      <c r="H652" s="1912"/>
      <c r="I652" s="1912"/>
      <c r="J652" s="1912"/>
      <c r="K652" s="1912"/>
      <c r="L652" s="1912"/>
      <c r="M652" s="1912"/>
      <c r="N652" s="1912"/>
      <c r="O652" s="1912"/>
      <c r="P652" s="1912"/>
      <c r="Q652" s="1912"/>
      <c r="R652" s="1912"/>
      <c r="S652" s="1912"/>
      <c r="T652" s="1912"/>
      <c r="U652" s="1912"/>
      <c r="V652" s="1912"/>
      <c r="W652" s="1912"/>
      <c r="X652" s="1912"/>
      <c r="Y652" s="1912"/>
      <c r="Z652" s="1912"/>
      <c r="AA652" s="1912"/>
      <c r="AB652" s="1912"/>
      <c r="AC652" s="191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12" t="s">
        <v>1593</v>
      </c>
      <c r="F654" s="1912"/>
      <c r="G654" s="1912"/>
      <c r="H654" s="1912"/>
      <c r="I654" s="1912"/>
      <c r="J654" s="1912"/>
      <c r="K654" s="1912"/>
      <c r="L654" s="1912"/>
      <c r="M654" s="1912"/>
      <c r="N654" s="1912"/>
      <c r="O654" s="1912"/>
      <c r="P654" s="1912"/>
      <c r="Q654" s="1912"/>
      <c r="R654" s="1912"/>
      <c r="S654" s="1912"/>
      <c r="T654" s="1912"/>
      <c r="U654" s="1912"/>
      <c r="V654" s="1912"/>
      <c r="W654" s="1912"/>
      <c r="X654" s="1912"/>
      <c r="Y654" s="1912"/>
      <c r="Z654" s="1912"/>
      <c r="AA654" s="1912"/>
      <c r="AB654" s="1912"/>
      <c r="AC654" s="1912"/>
      <c r="AD654" s="571"/>
      <c r="AE654" s="571"/>
      <c r="AF654" s="1992" t="s">
        <v>1525</v>
      </c>
      <c r="AG654" s="1992"/>
      <c r="AH654" s="1992"/>
      <c r="AI654" s="1992"/>
      <c r="AJ654" s="1992"/>
      <c r="AK654" s="1992"/>
      <c r="AL654" s="1992"/>
      <c r="AN654" s="632"/>
    </row>
    <row r="655" spans="1:42" s="585" customFormat="1" ht="12.75" customHeight="1">
      <c r="B655" s="571"/>
      <c r="C655" s="968"/>
      <c r="D655" s="571"/>
      <c r="E655" s="1912"/>
      <c r="F655" s="1912"/>
      <c r="G655" s="1912"/>
      <c r="H655" s="1912"/>
      <c r="I655" s="1912"/>
      <c r="J655" s="1912"/>
      <c r="K655" s="1912"/>
      <c r="L655" s="1912"/>
      <c r="M655" s="1912"/>
      <c r="N655" s="1912"/>
      <c r="O655" s="1912"/>
      <c r="P655" s="1912"/>
      <c r="Q655" s="1912"/>
      <c r="R655" s="1912"/>
      <c r="S655" s="1912"/>
      <c r="T655" s="1912"/>
      <c r="U655" s="1912"/>
      <c r="V655" s="1912"/>
      <c r="W655" s="1912"/>
      <c r="X655" s="1912"/>
      <c r="Y655" s="1912"/>
      <c r="Z655" s="1912"/>
      <c r="AA655" s="1912"/>
      <c r="AB655" s="1912"/>
      <c r="AC655" s="1912"/>
      <c r="AD655" s="571"/>
      <c r="AE655" s="1992"/>
      <c r="AF655" s="1992"/>
      <c r="AG655" s="1992"/>
      <c r="AH655" s="1992"/>
      <c r="AI655" s="1992"/>
      <c r="AJ655" s="1992"/>
      <c r="AK655" s="1992"/>
      <c r="AL655" s="629"/>
      <c r="AN655" s="632"/>
      <c r="AO655" s="585" t="s">
        <v>601</v>
      </c>
      <c r="AP655" s="708">
        <v>0</v>
      </c>
    </row>
    <row r="656" spans="1:42" s="585" customFormat="1" ht="12.75" customHeight="1">
      <c r="A656" s="714"/>
      <c r="B656" s="571"/>
      <c r="C656" s="571"/>
      <c r="D656" s="698"/>
      <c r="E656" s="1912"/>
      <c r="F656" s="1912"/>
      <c r="G656" s="1912"/>
      <c r="H656" s="1912"/>
      <c r="I656" s="1912"/>
      <c r="J656" s="1912"/>
      <c r="K656" s="1912"/>
      <c r="L656" s="1912"/>
      <c r="M656" s="1912"/>
      <c r="N656" s="1912"/>
      <c r="O656" s="1912"/>
      <c r="P656" s="1912"/>
      <c r="Q656" s="1912"/>
      <c r="R656" s="1912"/>
      <c r="S656" s="1912"/>
      <c r="T656" s="1912"/>
      <c r="U656" s="1912"/>
      <c r="V656" s="1912"/>
      <c r="W656" s="1912"/>
      <c r="X656" s="1912"/>
      <c r="Y656" s="1912"/>
      <c r="Z656" s="1912"/>
      <c r="AA656" s="1912"/>
      <c r="AB656" s="1912"/>
      <c r="AC656" s="1912"/>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12" t="s">
        <v>1594</v>
      </c>
      <c r="F658" s="1912"/>
      <c r="G658" s="1912"/>
      <c r="H658" s="1912"/>
      <c r="I658" s="1912"/>
      <c r="J658" s="1912"/>
      <c r="K658" s="1912"/>
      <c r="L658" s="1912"/>
      <c r="M658" s="1912"/>
      <c r="N658" s="1912"/>
      <c r="O658" s="1912"/>
      <c r="P658" s="1912"/>
      <c r="Q658" s="1912"/>
      <c r="R658" s="1912"/>
      <c r="S658" s="1912"/>
      <c r="T658" s="1912"/>
      <c r="U658" s="1912"/>
      <c r="V658" s="1912"/>
      <c r="W658" s="1912"/>
      <c r="X658" s="1912"/>
      <c r="Y658" s="1912"/>
      <c r="Z658" s="1912"/>
      <c r="AA658" s="1912"/>
      <c r="AB658" s="1912"/>
      <c r="AC658" s="1912"/>
      <c r="AD658" s="571"/>
      <c r="AE658" s="571"/>
      <c r="AF658" s="1992" t="s">
        <v>1572</v>
      </c>
      <c r="AG658" s="1992"/>
      <c r="AH658" s="1992"/>
      <c r="AI658" s="1992"/>
      <c r="AJ658" s="1992"/>
      <c r="AK658" s="1992"/>
      <c r="AL658" s="1992"/>
      <c r="AN658" s="632"/>
    </row>
    <row r="659" spans="1:42" s="585" customFormat="1" ht="12.75" customHeight="1">
      <c r="A659" s="705"/>
      <c r="B659" s="571"/>
      <c r="C659" s="984"/>
      <c r="D659" s="698"/>
      <c r="E659" s="1912"/>
      <c r="F659" s="1912"/>
      <c r="G659" s="1912"/>
      <c r="H659" s="1912"/>
      <c r="I659" s="1912"/>
      <c r="J659" s="1912"/>
      <c r="K659" s="1912"/>
      <c r="L659" s="1912"/>
      <c r="M659" s="1912"/>
      <c r="N659" s="1912"/>
      <c r="O659" s="1912"/>
      <c r="P659" s="1912"/>
      <c r="Q659" s="1912"/>
      <c r="R659" s="1912"/>
      <c r="S659" s="1912"/>
      <c r="T659" s="1912"/>
      <c r="U659" s="1912"/>
      <c r="V659" s="1912"/>
      <c r="W659" s="1912"/>
      <c r="X659" s="1912"/>
      <c r="Y659" s="1912"/>
      <c r="Z659" s="1912"/>
      <c r="AA659" s="1912"/>
      <c r="AB659" s="1912"/>
      <c r="AC659" s="191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12"/>
      <c r="F660" s="1912"/>
      <c r="G660" s="1912"/>
      <c r="H660" s="1912"/>
      <c r="I660" s="1912"/>
      <c r="J660" s="1912"/>
      <c r="K660" s="1912"/>
      <c r="L660" s="1912"/>
      <c r="M660" s="1912"/>
      <c r="N660" s="1912"/>
      <c r="O660" s="1912"/>
      <c r="P660" s="1912"/>
      <c r="Q660" s="1912"/>
      <c r="R660" s="1912"/>
      <c r="S660" s="1912"/>
      <c r="T660" s="1912"/>
      <c r="U660" s="1912"/>
      <c r="V660" s="1912"/>
      <c r="W660" s="1912"/>
      <c r="X660" s="1912"/>
      <c r="Y660" s="1912"/>
      <c r="Z660" s="1912"/>
      <c r="AA660" s="1912"/>
      <c r="AB660" s="1912"/>
      <c r="AC660" s="191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12" t="s">
        <v>1595</v>
      </c>
      <c r="F662" s="1912"/>
      <c r="G662" s="1912"/>
      <c r="H662" s="1912"/>
      <c r="I662" s="1912"/>
      <c r="J662" s="1912"/>
      <c r="K662" s="1912"/>
      <c r="L662" s="1912"/>
      <c r="M662" s="1912"/>
      <c r="N662" s="1912"/>
      <c r="O662" s="1912"/>
      <c r="P662" s="1912"/>
      <c r="Q662" s="1912"/>
      <c r="R662" s="1912"/>
      <c r="S662" s="1912"/>
      <c r="T662" s="1912"/>
      <c r="U662" s="1912"/>
      <c r="V662" s="1912"/>
      <c r="W662" s="1912"/>
      <c r="X662" s="1912"/>
      <c r="Y662" s="1912"/>
      <c r="Z662" s="1912"/>
      <c r="AA662" s="1912"/>
      <c r="AB662" s="1912"/>
      <c r="AC662" s="1912"/>
      <c r="AD662" s="571"/>
      <c r="AE662" s="571"/>
      <c r="AF662" s="1992" t="s">
        <v>1525</v>
      </c>
      <c r="AG662" s="1992"/>
      <c r="AH662" s="1992"/>
      <c r="AI662" s="1992"/>
      <c r="AJ662" s="1992"/>
      <c r="AK662" s="1992"/>
      <c r="AL662" s="1992"/>
      <c r="AM662" s="631"/>
      <c r="AN662" s="632"/>
    </row>
    <row r="663" spans="1:42" s="585" customFormat="1" ht="12.75" customHeight="1">
      <c r="B663" s="571"/>
      <c r="C663" s="968"/>
      <c r="D663" s="698"/>
      <c r="E663" s="1912"/>
      <c r="F663" s="1912"/>
      <c r="G663" s="1912"/>
      <c r="H663" s="1912"/>
      <c r="I663" s="1912"/>
      <c r="J663" s="1912"/>
      <c r="K663" s="1912"/>
      <c r="L663" s="1912"/>
      <c r="M663" s="1912"/>
      <c r="N663" s="1912"/>
      <c r="O663" s="1912"/>
      <c r="P663" s="1912"/>
      <c r="Q663" s="1912"/>
      <c r="R663" s="1912"/>
      <c r="S663" s="1912"/>
      <c r="T663" s="1912"/>
      <c r="U663" s="1912"/>
      <c r="V663" s="1912"/>
      <c r="W663" s="1912"/>
      <c r="X663" s="1912"/>
      <c r="Y663" s="1912"/>
      <c r="Z663" s="1912"/>
      <c r="AA663" s="1912"/>
      <c r="AB663" s="1912"/>
      <c r="AC663" s="1912"/>
      <c r="AD663" s="571"/>
      <c r="AE663" s="571"/>
      <c r="AF663" s="571"/>
      <c r="AG663" s="571"/>
      <c r="AH663" s="571"/>
      <c r="AI663" s="571"/>
      <c r="AJ663" s="571"/>
      <c r="AK663" s="571"/>
      <c r="AL663" s="571"/>
      <c r="AM663" s="631"/>
      <c r="AN663" s="632"/>
    </row>
    <row r="664" spans="1:42" s="585" customFormat="1" ht="12.75" customHeight="1">
      <c r="B664" s="571"/>
      <c r="C664" s="968"/>
      <c r="D664" s="698"/>
      <c r="E664" s="1912"/>
      <c r="F664" s="1912"/>
      <c r="G664" s="1912"/>
      <c r="H664" s="1912"/>
      <c r="I664" s="1912"/>
      <c r="J664" s="1912"/>
      <c r="K664" s="1912"/>
      <c r="L664" s="1912"/>
      <c r="M664" s="1912"/>
      <c r="N664" s="1912"/>
      <c r="O664" s="1912"/>
      <c r="P664" s="1912"/>
      <c r="Q664" s="1912"/>
      <c r="R664" s="1912"/>
      <c r="S664" s="1912"/>
      <c r="T664" s="1912"/>
      <c r="U664" s="1912"/>
      <c r="V664" s="1912"/>
      <c r="W664" s="1912"/>
      <c r="X664" s="1912"/>
      <c r="Y664" s="1912"/>
      <c r="Z664" s="1912"/>
      <c r="AA664" s="1912"/>
      <c r="AB664" s="1912"/>
      <c r="AC664" s="191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12" t="s">
        <v>1596</v>
      </c>
      <c r="F666" s="1912"/>
      <c r="G666" s="1912"/>
      <c r="H666" s="1912"/>
      <c r="I666" s="1912"/>
      <c r="J666" s="1912"/>
      <c r="K666" s="1912"/>
      <c r="L666" s="1912"/>
      <c r="M666" s="1912"/>
      <c r="N666" s="1912"/>
      <c r="O666" s="1912"/>
      <c r="P666" s="1912"/>
      <c r="Q666" s="1912"/>
      <c r="R666" s="1912"/>
      <c r="S666" s="1912"/>
      <c r="T666" s="1912"/>
      <c r="U666" s="1912"/>
      <c r="V666" s="1912"/>
      <c r="W666" s="1912"/>
      <c r="X666" s="1912"/>
      <c r="Y666" s="1912"/>
      <c r="Z666" s="1912"/>
      <c r="AA666" s="1912"/>
      <c r="AB666" s="1912"/>
      <c r="AC666" s="1912"/>
      <c r="AD666" s="571"/>
      <c r="AE666" s="571"/>
      <c r="AF666" s="1992" t="s">
        <v>1581</v>
      </c>
      <c r="AG666" s="1992"/>
      <c r="AH666" s="1992"/>
      <c r="AI666" s="1992"/>
      <c r="AJ666" s="1992"/>
      <c r="AK666" s="1992"/>
      <c r="AL666" s="1992"/>
      <c r="AM666" s="631"/>
      <c r="AN666" s="632"/>
    </row>
    <row r="667" spans="1:42" s="585" customFormat="1" ht="12.75" customHeight="1">
      <c r="A667" s="714"/>
      <c r="B667" s="571"/>
      <c r="C667" s="968"/>
      <c r="D667" s="698"/>
      <c r="E667" s="1912"/>
      <c r="F667" s="1912"/>
      <c r="G667" s="1912"/>
      <c r="H667" s="1912"/>
      <c r="I667" s="1912"/>
      <c r="J667" s="1912"/>
      <c r="K667" s="1912"/>
      <c r="L667" s="1912"/>
      <c r="M667" s="1912"/>
      <c r="N667" s="1912"/>
      <c r="O667" s="1912"/>
      <c r="P667" s="1912"/>
      <c r="Q667" s="1912"/>
      <c r="R667" s="1912"/>
      <c r="S667" s="1912"/>
      <c r="T667" s="1912"/>
      <c r="U667" s="1912"/>
      <c r="V667" s="1912"/>
      <c r="W667" s="1912"/>
      <c r="X667" s="1912"/>
      <c r="Y667" s="1912"/>
      <c r="Z667" s="1912"/>
      <c r="AA667" s="1912"/>
      <c r="AB667" s="1912"/>
      <c r="AC667" s="191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12"/>
      <c r="F668" s="1912"/>
      <c r="G668" s="1912"/>
      <c r="H668" s="1912"/>
      <c r="I668" s="1912"/>
      <c r="J668" s="1912"/>
      <c r="K668" s="1912"/>
      <c r="L668" s="1912"/>
      <c r="M668" s="1912"/>
      <c r="N668" s="1912"/>
      <c r="O668" s="1912"/>
      <c r="P668" s="1912"/>
      <c r="Q668" s="1912"/>
      <c r="R668" s="1912"/>
      <c r="S668" s="1912"/>
      <c r="T668" s="1912"/>
      <c r="U668" s="1912"/>
      <c r="V668" s="1912"/>
      <c r="W668" s="1912"/>
      <c r="X668" s="1912"/>
      <c r="Y668" s="1912"/>
      <c r="Z668" s="1912"/>
      <c r="AA668" s="1912"/>
      <c r="AB668" s="1912"/>
      <c r="AC668" s="191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12" t="s">
        <v>1597</v>
      </c>
      <c r="F670" s="1912"/>
      <c r="G670" s="1912"/>
      <c r="H670" s="1912"/>
      <c r="I670" s="1912"/>
      <c r="J670" s="1912"/>
      <c r="K670" s="1912"/>
      <c r="L670" s="1912"/>
      <c r="M670" s="1912"/>
      <c r="N670" s="1912"/>
      <c r="O670" s="1912"/>
      <c r="P670" s="1912"/>
      <c r="Q670" s="1912"/>
      <c r="R670" s="1912"/>
      <c r="S670" s="1912"/>
      <c r="T670" s="1912"/>
      <c r="U670" s="1912"/>
      <c r="V670" s="1912"/>
      <c r="W670" s="1912"/>
      <c r="X670" s="1912"/>
      <c r="Y670" s="1912"/>
      <c r="Z670" s="1912"/>
      <c r="AA670" s="1912"/>
      <c r="AB670" s="1912"/>
      <c r="AC670" s="1912"/>
      <c r="AD670" s="571"/>
      <c r="AE670" s="571"/>
      <c r="AF670" s="1992" t="s">
        <v>1598</v>
      </c>
      <c r="AG670" s="1992"/>
      <c r="AH670" s="1992"/>
      <c r="AI670" s="1992"/>
      <c r="AJ670" s="1992"/>
      <c r="AK670" s="1992"/>
      <c r="AL670" s="1992"/>
      <c r="AM670" s="631"/>
      <c r="AN670" s="632"/>
      <c r="AO670" s="646" t="s">
        <v>698</v>
      </c>
      <c r="AP670" s="585">
        <v>3</v>
      </c>
    </row>
    <row r="671" spans="1:42" s="585" customFormat="1" ht="12.75" customHeight="1">
      <c r="A671" s="714"/>
      <c r="B671" s="571"/>
      <c r="C671" s="968"/>
      <c r="D671" s="698"/>
      <c r="E671" s="1912"/>
      <c r="F671" s="1912"/>
      <c r="G671" s="1912"/>
      <c r="H671" s="1912"/>
      <c r="I671" s="1912"/>
      <c r="J671" s="1912"/>
      <c r="K671" s="1912"/>
      <c r="L671" s="1912"/>
      <c r="M671" s="1912"/>
      <c r="N671" s="1912"/>
      <c r="O671" s="1912"/>
      <c r="P671" s="1912"/>
      <c r="Q671" s="1912"/>
      <c r="R671" s="1912"/>
      <c r="S671" s="1912"/>
      <c r="T671" s="1912"/>
      <c r="U671" s="1912"/>
      <c r="V671" s="1912"/>
      <c r="W671" s="1912"/>
      <c r="X671" s="1912"/>
      <c r="Y671" s="1912"/>
      <c r="Z671" s="1912"/>
      <c r="AA671" s="1912"/>
      <c r="AB671" s="1912"/>
      <c r="AC671" s="1912"/>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12"/>
      <c r="F672" s="1912"/>
      <c r="G672" s="1912"/>
      <c r="H672" s="1912"/>
      <c r="I672" s="1912"/>
      <c r="J672" s="1912"/>
      <c r="K672" s="1912"/>
      <c r="L672" s="1912"/>
      <c r="M672" s="1912"/>
      <c r="N672" s="1912"/>
      <c r="O672" s="1912"/>
      <c r="P672" s="1912"/>
      <c r="Q672" s="1912"/>
      <c r="R672" s="1912"/>
      <c r="S672" s="1912"/>
      <c r="T672" s="1912"/>
      <c r="U672" s="1912"/>
      <c r="V672" s="1912"/>
      <c r="W672" s="1912"/>
      <c r="X672" s="1912"/>
      <c r="Y672" s="1912"/>
      <c r="Z672" s="1912"/>
      <c r="AA672" s="1912"/>
      <c r="AB672" s="1912"/>
      <c r="AC672" s="191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36" t="s">
        <v>698</v>
      </c>
      <c r="I674" s="193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19">
        <f>VLOOKUP($H$674,$AO$622:$AP$629,2,FALSE)</f>
        <v>5</v>
      </c>
      <c r="AK676" s="192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12" t="s">
        <v>2558</v>
      </c>
      <c r="F680" s="1912"/>
      <c r="G680" s="1912"/>
      <c r="H680" s="1912"/>
      <c r="I680" s="1912"/>
      <c r="J680" s="1912"/>
      <c r="K680" s="1912"/>
      <c r="L680" s="1912"/>
      <c r="M680" s="1912"/>
      <c r="N680" s="1912"/>
      <c r="O680" s="1912"/>
      <c r="P680" s="1912"/>
      <c r="Q680" s="1912"/>
      <c r="R680" s="1912"/>
      <c r="S680" s="1912"/>
      <c r="T680" s="1912"/>
      <c r="U680" s="1912"/>
      <c r="V680" s="1912"/>
      <c r="W680" s="1912"/>
      <c r="X680" s="1912"/>
      <c r="Y680" s="1912"/>
      <c r="Z680" s="1912"/>
      <c r="AA680" s="1912"/>
      <c r="AB680" s="1912"/>
      <c r="AC680" s="571"/>
      <c r="AD680" s="571"/>
      <c r="AE680" s="571"/>
      <c r="AF680" s="1992" t="s">
        <v>1525</v>
      </c>
      <c r="AG680" s="1992"/>
      <c r="AH680" s="1992"/>
      <c r="AI680" s="1992"/>
      <c r="AJ680" s="1992"/>
      <c r="AK680" s="1992"/>
      <c r="AL680" s="1992"/>
      <c r="AN680" s="632"/>
    </row>
    <row r="681" spans="1:42" s="585" customFormat="1" ht="12.75" customHeight="1">
      <c r="B681" s="571"/>
      <c r="C681" s="977"/>
      <c r="D681" s="698"/>
      <c r="E681" s="1912"/>
      <c r="F681" s="1912"/>
      <c r="G681" s="1912"/>
      <c r="H681" s="1912"/>
      <c r="I681" s="1912"/>
      <c r="J681" s="1912"/>
      <c r="K681" s="1912"/>
      <c r="L681" s="1912"/>
      <c r="M681" s="1912"/>
      <c r="N681" s="1912"/>
      <c r="O681" s="1912"/>
      <c r="P681" s="1912"/>
      <c r="Q681" s="1912"/>
      <c r="R681" s="1912"/>
      <c r="S681" s="1912"/>
      <c r="T681" s="1912"/>
      <c r="U681" s="1912"/>
      <c r="V681" s="1912"/>
      <c r="W681" s="1912"/>
      <c r="X681" s="1912"/>
      <c r="Y681" s="1912"/>
      <c r="Z681" s="1912"/>
      <c r="AA681" s="1912"/>
      <c r="AB681" s="1912"/>
      <c r="AC681" s="571"/>
      <c r="AD681" s="571"/>
      <c r="AE681" s="651"/>
      <c r="AF681" s="571"/>
      <c r="AG681" s="571"/>
      <c r="AH681" s="571"/>
      <c r="AI681" s="571"/>
      <c r="AJ681" s="571"/>
      <c r="AK681" s="571"/>
      <c r="AL681" s="571"/>
      <c r="AN681" s="632"/>
      <c r="AO681" s="1927"/>
      <c r="AP681" s="1927"/>
    </row>
    <row r="682" spans="1:42" s="585" customFormat="1" ht="12.75" customHeight="1">
      <c r="B682" s="571"/>
      <c r="C682" s="977"/>
      <c r="D682" s="698"/>
      <c r="E682" s="1912"/>
      <c r="F682" s="1912"/>
      <c r="G682" s="1912"/>
      <c r="H682" s="1912"/>
      <c r="I682" s="1912"/>
      <c r="J682" s="1912"/>
      <c r="K682" s="1912"/>
      <c r="L682" s="1912"/>
      <c r="M682" s="1912"/>
      <c r="N682" s="1912"/>
      <c r="O682" s="1912"/>
      <c r="P682" s="1912"/>
      <c r="Q682" s="1912"/>
      <c r="R682" s="1912"/>
      <c r="S682" s="1912"/>
      <c r="T682" s="1912"/>
      <c r="U682" s="1912"/>
      <c r="V682" s="1912"/>
      <c r="W682" s="1912"/>
      <c r="X682" s="1912"/>
      <c r="Y682" s="1912"/>
      <c r="Z682" s="1912"/>
      <c r="AA682" s="1912"/>
      <c r="AB682" s="1912"/>
      <c r="AC682" s="571"/>
      <c r="AD682" s="571"/>
      <c r="AE682" s="651"/>
      <c r="AF682" s="651"/>
      <c r="AG682" s="651"/>
      <c r="AH682" s="651"/>
      <c r="AI682" s="651"/>
      <c r="AJ682" s="651"/>
      <c r="AK682" s="651"/>
      <c r="AL682" s="651"/>
      <c r="AN682" s="632"/>
    </row>
    <row r="683" spans="1:42" s="585" customFormat="1" ht="28.5" customHeight="1">
      <c r="B683" s="571"/>
      <c r="C683" s="977"/>
      <c r="D683" s="698"/>
      <c r="E683" s="1912"/>
      <c r="F683" s="1912"/>
      <c r="G683" s="1912"/>
      <c r="H683" s="1912"/>
      <c r="I683" s="1912"/>
      <c r="J683" s="1912"/>
      <c r="K683" s="1912"/>
      <c r="L683" s="1912"/>
      <c r="M683" s="1912"/>
      <c r="N683" s="1912"/>
      <c r="O683" s="1912"/>
      <c r="P683" s="1912"/>
      <c r="Q683" s="1912"/>
      <c r="R683" s="1912"/>
      <c r="S683" s="1912"/>
      <c r="T683" s="1912"/>
      <c r="U683" s="1912"/>
      <c r="V683" s="1912"/>
      <c r="W683" s="1912"/>
      <c r="X683" s="1912"/>
      <c r="Y683" s="1912"/>
      <c r="Z683" s="1912"/>
      <c r="AA683" s="1912"/>
      <c r="AB683" s="1912"/>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12" t="s">
        <v>2559</v>
      </c>
      <c r="F685" s="1912"/>
      <c r="G685" s="1912"/>
      <c r="H685" s="1912"/>
      <c r="I685" s="1912"/>
      <c r="J685" s="1912"/>
      <c r="K685" s="1912"/>
      <c r="L685" s="1912"/>
      <c r="M685" s="1912"/>
      <c r="N685" s="1912"/>
      <c r="O685" s="1912"/>
      <c r="P685" s="1912"/>
      <c r="Q685" s="1912"/>
      <c r="R685" s="1912"/>
      <c r="S685" s="1912"/>
      <c r="T685" s="1912"/>
      <c r="U685" s="1912"/>
      <c r="V685" s="1912"/>
      <c r="W685" s="1912"/>
      <c r="X685" s="1912"/>
      <c r="Y685" s="1912"/>
      <c r="Z685" s="1912"/>
      <c r="AA685" s="1912"/>
      <c r="AB685" s="1912"/>
      <c r="AC685" s="571"/>
      <c r="AD685" s="571"/>
      <c r="AE685" s="571"/>
      <c r="AF685" s="1992" t="s">
        <v>1581</v>
      </c>
      <c r="AG685" s="1992"/>
      <c r="AH685" s="1992"/>
      <c r="AI685" s="1992"/>
      <c r="AJ685" s="1992"/>
      <c r="AK685" s="1992"/>
      <c r="AL685" s="1992"/>
      <c r="AN685" s="632"/>
      <c r="AO685" s="646" t="s">
        <v>519</v>
      </c>
      <c r="AP685" s="585">
        <v>1</v>
      </c>
    </row>
    <row r="686" spans="1:42" s="585" customFormat="1" ht="12" customHeight="1">
      <c r="B686" s="571"/>
      <c r="C686" s="968"/>
      <c r="D686" s="571"/>
      <c r="E686" s="1912"/>
      <c r="F686" s="1912"/>
      <c r="G686" s="1912"/>
      <c r="H686" s="1912"/>
      <c r="I686" s="1912"/>
      <c r="J686" s="1912"/>
      <c r="K686" s="1912"/>
      <c r="L686" s="1912"/>
      <c r="M686" s="1912"/>
      <c r="N686" s="1912"/>
      <c r="O686" s="1912"/>
      <c r="P686" s="1912"/>
      <c r="Q686" s="1912"/>
      <c r="R686" s="1912"/>
      <c r="S686" s="1912"/>
      <c r="T686" s="1912"/>
      <c r="U686" s="1912"/>
      <c r="V686" s="1912"/>
      <c r="W686" s="1912"/>
      <c r="X686" s="1912"/>
      <c r="Y686" s="1912"/>
      <c r="Z686" s="1912"/>
      <c r="AA686" s="1912"/>
      <c r="AB686" s="1912"/>
      <c r="AC686" s="571"/>
      <c r="AD686" s="571"/>
      <c r="AE686" s="651"/>
      <c r="AF686" s="571"/>
      <c r="AG686" s="571"/>
      <c r="AH686" s="571"/>
      <c r="AI686" s="571"/>
      <c r="AJ686" s="571"/>
      <c r="AK686" s="571"/>
      <c r="AL686" s="571"/>
      <c r="AN686" s="632"/>
    </row>
    <row r="687" spans="1:42" s="585" customFormat="1" ht="12" customHeight="1">
      <c r="B687" s="571"/>
      <c r="C687" s="968"/>
      <c r="D687" s="571"/>
      <c r="E687" s="1912"/>
      <c r="F687" s="1912"/>
      <c r="G687" s="1912"/>
      <c r="H687" s="1912"/>
      <c r="I687" s="1912"/>
      <c r="J687" s="1912"/>
      <c r="K687" s="1912"/>
      <c r="L687" s="1912"/>
      <c r="M687" s="1912"/>
      <c r="N687" s="1912"/>
      <c r="O687" s="1912"/>
      <c r="P687" s="1912"/>
      <c r="Q687" s="1912"/>
      <c r="R687" s="1912"/>
      <c r="S687" s="1912"/>
      <c r="T687" s="1912"/>
      <c r="U687" s="1912"/>
      <c r="V687" s="1912"/>
      <c r="W687" s="1912"/>
      <c r="X687" s="1912"/>
      <c r="Y687" s="1912"/>
      <c r="Z687" s="1912"/>
      <c r="AA687" s="1912"/>
      <c r="AB687" s="191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12"/>
      <c r="F688" s="1912"/>
      <c r="G688" s="1912"/>
      <c r="H688" s="1912"/>
      <c r="I688" s="1912"/>
      <c r="J688" s="1912"/>
      <c r="K688" s="1912"/>
      <c r="L688" s="1912"/>
      <c r="M688" s="1912"/>
      <c r="N688" s="1912"/>
      <c r="O688" s="1912"/>
      <c r="P688" s="1912"/>
      <c r="Q688" s="1912"/>
      <c r="R688" s="1912"/>
      <c r="S688" s="1912"/>
      <c r="T688" s="1912"/>
      <c r="U688" s="1912"/>
      <c r="V688" s="1912"/>
      <c r="W688" s="1912"/>
      <c r="X688" s="1912"/>
      <c r="Y688" s="1912"/>
      <c r="Z688" s="1912"/>
      <c r="AA688" s="1912"/>
      <c r="AB688" s="191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12" t="s">
        <v>1954</v>
      </c>
      <c r="F690" s="1912"/>
      <c r="G690" s="1912"/>
      <c r="H690" s="1912"/>
      <c r="I690" s="1912"/>
      <c r="J690" s="1912"/>
      <c r="K690" s="1912"/>
      <c r="L690" s="1912"/>
      <c r="M690" s="1912"/>
      <c r="N690" s="1912"/>
      <c r="O690" s="1912"/>
      <c r="P690" s="1912"/>
      <c r="Q690" s="1912"/>
      <c r="R690" s="1912"/>
      <c r="S690" s="1912"/>
      <c r="T690" s="1912"/>
      <c r="U690" s="1912"/>
      <c r="V690" s="1912"/>
      <c r="W690" s="1912"/>
      <c r="X690" s="1912"/>
      <c r="Y690" s="1912"/>
      <c r="Z690" s="1912"/>
      <c r="AA690" s="1912"/>
      <c r="AB690" s="191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12"/>
      <c r="F691" s="1912"/>
      <c r="G691" s="1912"/>
      <c r="H691" s="1912"/>
      <c r="I691" s="1912"/>
      <c r="J691" s="1912"/>
      <c r="K691" s="1912"/>
      <c r="L691" s="1912"/>
      <c r="M691" s="1912"/>
      <c r="N691" s="1912"/>
      <c r="O691" s="1912"/>
      <c r="P691" s="1912"/>
      <c r="Q691" s="1912"/>
      <c r="R691" s="1912"/>
      <c r="S691" s="1912"/>
      <c r="T691" s="1912"/>
      <c r="U691" s="1912"/>
      <c r="V691" s="1912"/>
      <c r="W691" s="1912"/>
      <c r="X691" s="1912"/>
      <c r="Y691" s="1912"/>
      <c r="Z691" s="1912"/>
      <c r="AA691" s="1912"/>
      <c r="AB691" s="191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12"/>
      <c r="F692" s="1912"/>
      <c r="G692" s="1912"/>
      <c r="H692" s="1912"/>
      <c r="I692" s="1912"/>
      <c r="J692" s="1912"/>
      <c r="K692" s="1912"/>
      <c r="L692" s="1912"/>
      <c r="M692" s="1912"/>
      <c r="N692" s="1912"/>
      <c r="O692" s="1912"/>
      <c r="P692" s="1912"/>
      <c r="Q692" s="1912"/>
      <c r="R692" s="1912"/>
      <c r="S692" s="1912"/>
      <c r="T692" s="1912"/>
      <c r="U692" s="1912"/>
      <c r="V692" s="1912"/>
      <c r="W692" s="1912"/>
      <c r="X692" s="1912"/>
      <c r="Y692" s="1912"/>
      <c r="Z692" s="1912"/>
      <c r="AA692" s="1912"/>
      <c r="AB692" s="191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36" t="s">
        <v>601</v>
      </c>
      <c r="I694" s="193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19">
        <f>VLOOKUP($H$694,$AO$641:$AP$643,2,FALSE)</f>
        <v>0</v>
      </c>
      <c r="AK696" s="1921"/>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25" t="s">
        <v>1956</v>
      </c>
      <c r="F700" s="2025"/>
      <c r="G700" s="2025"/>
      <c r="H700" s="2025"/>
      <c r="I700" s="2025"/>
      <c r="J700" s="2025"/>
      <c r="K700" s="2025"/>
      <c r="L700" s="2025"/>
      <c r="M700" s="2025"/>
      <c r="N700" s="2025"/>
      <c r="O700" s="2025"/>
      <c r="P700" s="2025"/>
      <c r="Q700" s="2025"/>
      <c r="R700" s="2025"/>
      <c r="S700" s="2025"/>
      <c r="T700" s="2025"/>
      <c r="U700" s="2025"/>
      <c r="V700" s="2025"/>
      <c r="W700" s="2025"/>
      <c r="X700" s="2025"/>
      <c r="Y700" s="2025"/>
      <c r="Z700" s="2025"/>
      <c r="AA700" s="2025"/>
      <c r="AB700" s="2025"/>
      <c r="AC700" s="571"/>
      <c r="AD700" s="571"/>
      <c r="AE700" s="571"/>
      <c r="AF700" s="1992" t="s">
        <v>1525</v>
      </c>
      <c r="AG700" s="1992"/>
      <c r="AH700" s="1992"/>
      <c r="AI700" s="1992"/>
      <c r="AJ700" s="1992"/>
      <c r="AK700" s="1992"/>
      <c r="AL700" s="1992"/>
      <c r="AM700" s="585"/>
      <c r="AN700" s="719"/>
      <c r="AP700" s="605" t="s">
        <v>1605</v>
      </c>
    </row>
    <row r="701" spans="1:42" s="605" customFormat="1" ht="11.85" customHeight="1">
      <c r="A701" s="585"/>
      <c r="B701" s="571"/>
      <c r="C701" s="970"/>
      <c r="D701" s="698"/>
      <c r="E701" s="2025"/>
      <c r="F701" s="2025"/>
      <c r="G701" s="2025"/>
      <c r="H701" s="2025"/>
      <c r="I701" s="2025"/>
      <c r="J701" s="2025"/>
      <c r="K701" s="2025"/>
      <c r="L701" s="2025"/>
      <c r="M701" s="2025"/>
      <c r="N701" s="2025"/>
      <c r="O701" s="2025"/>
      <c r="P701" s="2025"/>
      <c r="Q701" s="2025"/>
      <c r="R701" s="2025"/>
      <c r="S701" s="2025"/>
      <c r="T701" s="2025"/>
      <c r="U701" s="2025"/>
      <c r="V701" s="2025"/>
      <c r="W701" s="2025"/>
      <c r="X701" s="2025"/>
      <c r="Y701" s="2025"/>
      <c r="Z701" s="2025"/>
      <c r="AA701" s="2025"/>
      <c r="AB701" s="2025"/>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25"/>
      <c r="F702" s="2025"/>
      <c r="G702" s="2025"/>
      <c r="H702" s="2025"/>
      <c r="I702" s="2025"/>
      <c r="J702" s="2025"/>
      <c r="K702" s="2025"/>
      <c r="L702" s="2025"/>
      <c r="M702" s="2025"/>
      <c r="N702" s="2025"/>
      <c r="O702" s="2025"/>
      <c r="P702" s="2025"/>
      <c r="Q702" s="2025"/>
      <c r="R702" s="2025"/>
      <c r="S702" s="2025"/>
      <c r="T702" s="2025"/>
      <c r="U702" s="2025"/>
      <c r="V702" s="2025"/>
      <c r="W702" s="2025"/>
      <c r="X702" s="2025"/>
      <c r="Y702" s="2025"/>
      <c r="Z702" s="2025"/>
      <c r="AA702" s="2025"/>
      <c r="AB702" s="2025"/>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26" t="s">
        <v>1608</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1"/>
      <c r="AD704" s="571"/>
      <c r="AE704" s="571"/>
      <c r="AF704" s="1992" t="s">
        <v>1581</v>
      </c>
      <c r="AG704" s="1992"/>
      <c r="AH704" s="1992"/>
      <c r="AI704" s="1992"/>
      <c r="AJ704" s="1992"/>
      <c r="AK704" s="1992"/>
      <c r="AL704" s="1992"/>
      <c r="AM704" s="585"/>
      <c r="AN704" s="720"/>
    </row>
    <row r="705" spans="1:52" s="605" customFormat="1" ht="12.75" customHeight="1">
      <c r="A705" s="585"/>
      <c r="B705" s="571"/>
      <c r="C705" s="970"/>
      <c r="D705" s="571"/>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36" t="s">
        <v>601</v>
      </c>
      <c r="I708" s="193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19">
        <f>VLOOKUP($H$708,$AO$641:$AP$643,2,FALSE)</f>
        <v>0</v>
      </c>
      <c r="AK710" s="1921"/>
      <c r="AL710" s="630"/>
      <c r="AM710" s="585"/>
      <c r="AN710" s="719"/>
      <c r="AP710" s="1919"/>
      <c r="AQ710" s="192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12" t="s">
        <v>1957</v>
      </c>
      <c r="F714" s="1912"/>
      <c r="G714" s="1912"/>
      <c r="H714" s="1912"/>
      <c r="I714" s="1912"/>
      <c r="J714" s="1912"/>
      <c r="K714" s="1912"/>
      <c r="L714" s="1912"/>
      <c r="M714" s="1912"/>
      <c r="N714" s="1912"/>
      <c r="O714" s="1912"/>
      <c r="P714" s="1912"/>
      <c r="Q714" s="1912"/>
      <c r="R714" s="1912"/>
      <c r="S714" s="1912"/>
      <c r="T714" s="1912"/>
      <c r="U714" s="1912"/>
      <c r="V714" s="1912"/>
      <c r="W714" s="1912"/>
      <c r="X714" s="1912"/>
      <c r="Y714" s="1912"/>
      <c r="Z714" s="1912"/>
      <c r="AA714" s="1912"/>
      <c r="AB714" s="1912"/>
      <c r="AC714" s="571"/>
      <c r="AD714" s="571"/>
      <c r="AE714" s="571"/>
      <c r="AF714" s="1992" t="s">
        <v>1525</v>
      </c>
      <c r="AG714" s="1992"/>
      <c r="AH714" s="1992"/>
      <c r="AI714" s="1992"/>
      <c r="AJ714" s="1992"/>
      <c r="AK714" s="1992"/>
      <c r="AL714" s="1992"/>
      <c r="AM714" s="585"/>
      <c r="AN714" s="719"/>
      <c r="AT714" s="14"/>
      <c r="AU714" s="14"/>
      <c r="AV714" s="14"/>
      <c r="AW714" s="14"/>
      <c r="AX714" s="14"/>
      <c r="AY714" s="14"/>
      <c r="AZ714" s="14"/>
    </row>
    <row r="715" spans="1:52" s="605" customFormat="1">
      <c r="A715" s="585"/>
      <c r="B715" s="571"/>
      <c r="C715" s="970"/>
      <c r="D715" s="698"/>
      <c r="E715" s="1912"/>
      <c r="F715" s="1912"/>
      <c r="G715" s="1912"/>
      <c r="H715" s="1912"/>
      <c r="I715" s="1912"/>
      <c r="J715" s="1912"/>
      <c r="K715" s="1912"/>
      <c r="L715" s="1912"/>
      <c r="M715" s="1912"/>
      <c r="N715" s="1912"/>
      <c r="O715" s="1912"/>
      <c r="P715" s="1912"/>
      <c r="Q715" s="1912"/>
      <c r="R715" s="1912"/>
      <c r="S715" s="1912"/>
      <c r="T715" s="1912"/>
      <c r="U715" s="1912"/>
      <c r="V715" s="1912"/>
      <c r="W715" s="1912"/>
      <c r="X715" s="1912"/>
      <c r="Y715" s="1912"/>
      <c r="Z715" s="1912"/>
      <c r="AA715" s="1912"/>
      <c r="AB715" s="191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12" t="s">
        <v>1612</v>
      </c>
      <c r="F717" s="1912"/>
      <c r="G717" s="1912"/>
      <c r="H717" s="1912"/>
      <c r="I717" s="1912"/>
      <c r="J717" s="1912"/>
      <c r="K717" s="1912"/>
      <c r="L717" s="1912"/>
      <c r="M717" s="1912"/>
      <c r="N717" s="1912"/>
      <c r="O717" s="1912"/>
      <c r="P717" s="1912"/>
      <c r="Q717" s="1912"/>
      <c r="R717" s="1912"/>
      <c r="S717" s="1912"/>
      <c r="T717" s="1912"/>
      <c r="U717" s="1912"/>
      <c r="V717" s="1912"/>
      <c r="W717" s="1912"/>
      <c r="X717" s="1912"/>
      <c r="Y717" s="1912"/>
      <c r="Z717" s="1912"/>
      <c r="AA717" s="1912"/>
      <c r="AB717" s="1912"/>
      <c r="AC717" s="571"/>
      <c r="AD717" s="571"/>
      <c r="AE717" s="571"/>
      <c r="AF717" s="1992" t="s">
        <v>1581</v>
      </c>
      <c r="AG717" s="1992"/>
      <c r="AH717" s="1992"/>
      <c r="AI717" s="1992"/>
      <c r="AJ717" s="1992"/>
      <c r="AK717" s="1992"/>
      <c r="AL717" s="1992"/>
      <c r="AM717" s="585"/>
      <c r="AN717" s="719"/>
      <c r="AT717" s="14"/>
      <c r="AU717" s="14"/>
      <c r="AV717" s="14"/>
      <c r="AW717" s="14"/>
      <c r="AX717" s="14"/>
      <c r="AY717" s="14"/>
      <c r="AZ717" s="14"/>
    </row>
    <row r="718" spans="1:52" s="605" customFormat="1">
      <c r="A718" s="585"/>
      <c r="B718" s="571"/>
      <c r="C718" s="970"/>
      <c r="D718" s="571"/>
      <c r="E718" s="1912"/>
      <c r="F718" s="1912"/>
      <c r="G718" s="1912"/>
      <c r="H718" s="1912"/>
      <c r="I718" s="1912"/>
      <c r="J718" s="1912"/>
      <c r="K718" s="1912"/>
      <c r="L718" s="1912"/>
      <c r="M718" s="1912"/>
      <c r="N718" s="1912"/>
      <c r="O718" s="1912"/>
      <c r="P718" s="1912"/>
      <c r="Q718" s="1912"/>
      <c r="R718" s="1912"/>
      <c r="S718" s="1912"/>
      <c r="T718" s="1912"/>
      <c r="U718" s="1912"/>
      <c r="V718" s="1912"/>
      <c r="W718" s="1912"/>
      <c r="X718" s="1912"/>
      <c r="Y718" s="1912"/>
      <c r="Z718" s="1912"/>
      <c r="AA718" s="1912"/>
      <c r="AB718" s="191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36" t="s">
        <v>601</v>
      </c>
      <c r="I720" s="193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19">
        <f>VLOOKUP($H$720,$AO$655:$AP$657,2,FALSE)</f>
        <v>0</v>
      </c>
      <c r="AK722" s="192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12" t="s">
        <v>1615</v>
      </c>
      <c r="F726" s="1912"/>
      <c r="G726" s="1912"/>
      <c r="H726" s="1912"/>
      <c r="I726" s="1912"/>
      <c r="J726" s="1912"/>
      <c r="K726" s="1912"/>
      <c r="L726" s="1912"/>
      <c r="M726" s="1912"/>
      <c r="N726" s="1912"/>
      <c r="O726" s="1912"/>
      <c r="P726" s="1912"/>
      <c r="Q726" s="1912"/>
      <c r="R726" s="1912"/>
      <c r="S726" s="1912"/>
      <c r="T726" s="1912"/>
      <c r="U726" s="1912"/>
      <c r="V726" s="1912"/>
      <c r="W726" s="1912"/>
      <c r="X726" s="1912"/>
      <c r="Y726" s="1912"/>
      <c r="Z726" s="1912"/>
      <c r="AA726" s="1912"/>
      <c r="AB726" s="1912"/>
      <c r="AC726" s="571"/>
      <c r="AD726" s="571"/>
      <c r="AE726" s="571"/>
      <c r="AF726" s="1992" t="s">
        <v>1525</v>
      </c>
      <c r="AG726" s="1992"/>
      <c r="AH726" s="1992"/>
      <c r="AI726" s="1992"/>
      <c r="AJ726" s="1992"/>
      <c r="AK726" s="1992"/>
      <c r="AL726" s="1992"/>
      <c r="AM726" s="585"/>
      <c r="AN726" s="719"/>
      <c r="AT726" s="14"/>
      <c r="AU726" s="14"/>
      <c r="AV726" s="14"/>
      <c r="AW726" s="14"/>
      <c r="AX726" s="14"/>
      <c r="AY726" s="14"/>
      <c r="AZ726" s="14"/>
    </row>
    <row r="727" spans="1:81" s="605" customFormat="1">
      <c r="A727" s="585"/>
      <c r="B727" s="571"/>
      <c r="C727" s="968"/>
      <c r="D727" s="698"/>
      <c r="E727" s="1912"/>
      <c r="F727" s="1912"/>
      <c r="G727" s="1912"/>
      <c r="H727" s="1912"/>
      <c r="I727" s="1912"/>
      <c r="J727" s="1912"/>
      <c r="K727" s="1912"/>
      <c r="L727" s="1912"/>
      <c r="M727" s="1912"/>
      <c r="N727" s="1912"/>
      <c r="O727" s="1912"/>
      <c r="P727" s="1912"/>
      <c r="Q727" s="1912"/>
      <c r="R727" s="1912"/>
      <c r="S727" s="1912"/>
      <c r="T727" s="1912"/>
      <c r="U727" s="1912"/>
      <c r="V727" s="1912"/>
      <c r="W727" s="1912"/>
      <c r="X727" s="1912"/>
      <c r="Y727" s="1912"/>
      <c r="Z727" s="1912"/>
      <c r="AA727" s="1912"/>
      <c r="AB727" s="191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12"/>
      <c r="F728" s="1912"/>
      <c r="G728" s="1912"/>
      <c r="H728" s="1912"/>
      <c r="I728" s="1912"/>
      <c r="J728" s="1912"/>
      <c r="K728" s="1912"/>
      <c r="L728" s="1912"/>
      <c r="M728" s="1912"/>
      <c r="N728" s="1912"/>
      <c r="O728" s="1912"/>
      <c r="P728" s="1912"/>
      <c r="Q728" s="1912"/>
      <c r="R728" s="1912"/>
      <c r="S728" s="1912"/>
      <c r="T728" s="1912"/>
      <c r="U728" s="1912"/>
      <c r="V728" s="1912"/>
      <c r="W728" s="1912"/>
      <c r="X728" s="1912"/>
      <c r="Y728" s="1912"/>
      <c r="Z728" s="1912"/>
      <c r="AA728" s="1912"/>
      <c r="AB728" s="191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12"/>
      <c r="F729" s="1912"/>
      <c r="G729" s="1912"/>
      <c r="H729" s="1912"/>
      <c r="I729" s="1912"/>
      <c r="J729" s="1912"/>
      <c r="K729" s="1912"/>
      <c r="L729" s="1912"/>
      <c r="M729" s="1912"/>
      <c r="N729" s="1912"/>
      <c r="O729" s="1912"/>
      <c r="P729" s="1912"/>
      <c r="Q729" s="1912"/>
      <c r="R729" s="1912"/>
      <c r="S729" s="1912"/>
      <c r="T729" s="1912"/>
      <c r="U729" s="1912"/>
      <c r="V729" s="1912"/>
      <c r="W729" s="1912"/>
      <c r="X729" s="1912"/>
      <c r="Y729" s="1912"/>
      <c r="Z729" s="1912"/>
      <c r="AA729" s="1912"/>
      <c r="AB729" s="191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12" t="s">
        <v>1616</v>
      </c>
      <c r="F731" s="1912"/>
      <c r="G731" s="1912"/>
      <c r="H731" s="1912"/>
      <c r="I731" s="1912"/>
      <c r="J731" s="1912"/>
      <c r="K731" s="1912"/>
      <c r="L731" s="1912"/>
      <c r="M731" s="1912"/>
      <c r="N731" s="1912"/>
      <c r="O731" s="1912"/>
      <c r="P731" s="1912"/>
      <c r="Q731" s="1912"/>
      <c r="R731" s="1912"/>
      <c r="S731" s="1912"/>
      <c r="T731" s="1912"/>
      <c r="U731" s="1912"/>
      <c r="V731" s="1912"/>
      <c r="W731" s="1912"/>
      <c r="X731" s="1912"/>
      <c r="Y731" s="1912"/>
      <c r="Z731" s="1912"/>
      <c r="AA731" s="1912"/>
      <c r="AB731" s="610"/>
      <c r="AC731" s="571"/>
      <c r="AD731" s="571"/>
      <c r="AE731" s="571"/>
      <c r="AF731" s="1992" t="s">
        <v>1581</v>
      </c>
      <c r="AG731" s="1992"/>
      <c r="AH731" s="1992"/>
      <c r="AI731" s="1992"/>
      <c r="AJ731" s="1992"/>
      <c r="AK731" s="1992"/>
      <c r="AL731" s="1992"/>
      <c r="AM731" s="585"/>
      <c r="AN731" s="719"/>
      <c r="AO731" s="30"/>
      <c r="AP731" s="14"/>
    </row>
    <row r="732" spans="1:81" s="605" customFormat="1">
      <c r="A732" s="585"/>
      <c r="B732" s="571"/>
      <c r="C732" s="968"/>
      <c r="D732" s="698"/>
      <c r="E732" s="1912"/>
      <c r="F732" s="1912"/>
      <c r="G732" s="1912"/>
      <c r="H732" s="1912"/>
      <c r="I732" s="1912"/>
      <c r="J732" s="1912"/>
      <c r="K732" s="1912"/>
      <c r="L732" s="1912"/>
      <c r="M732" s="1912"/>
      <c r="N732" s="1912"/>
      <c r="O732" s="1912"/>
      <c r="P732" s="1912"/>
      <c r="Q732" s="1912"/>
      <c r="R732" s="1912"/>
      <c r="S732" s="1912"/>
      <c r="T732" s="1912"/>
      <c r="U732" s="1912"/>
      <c r="V732" s="1912"/>
      <c r="W732" s="1912"/>
      <c r="X732" s="1912"/>
      <c r="Y732" s="1912"/>
      <c r="Z732" s="1912"/>
      <c r="AA732" s="191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12"/>
      <c r="F733" s="1912"/>
      <c r="G733" s="1912"/>
      <c r="H733" s="1912"/>
      <c r="I733" s="1912"/>
      <c r="J733" s="1912"/>
      <c r="K733" s="1912"/>
      <c r="L733" s="1912"/>
      <c r="M733" s="1912"/>
      <c r="N733" s="1912"/>
      <c r="O733" s="1912"/>
      <c r="P733" s="1912"/>
      <c r="Q733" s="1912"/>
      <c r="R733" s="1912"/>
      <c r="S733" s="1912"/>
      <c r="T733" s="1912"/>
      <c r="U733" s="1912"/>
      <c r="V733" s="1912"/>
      <c r="W733" s="1912"/>
      <c r="X733" s="1912"/>
      <c r="Y733" s="1912"/>
      <c r="Z733" s="1912"/>
      <c r="AA733" s="191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12"/>
      <c r="F734" s="1912"/>
      <c r="G734" s="1912"/>
      <c r="H734" s="1912"/>
      <c r="I734" s="1912"/>
      <c r="J734" s="1912"/>
      <c r="K734" s="1912"/>
      <c r="L734" s="1912"/>
      <c r="M734" s="1912"/>
      <c r="N734" s="1912"/>
      <c r="O734" s="1912"/>
      <c r="P734" s="1912"/>
      <c r="Q734" s="1912"/>
      <c r="R734" s="1912"/>
      <c r="S734" s="1912"/>
      <c r="T734" s="1912"/>
      <c r="U734" s="1912"/>
      <c r="V734" s="1912"/>
      <c r="W734" s="1912"/>
      <c r="X734" s="1912"/>
      <c r="Y734" s="1912"/>
      <c r="Z734" s="1912"/>
      <c r="AA734" s="191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36" t="s">
        <v>601</v>
      </c>
      <c r="I736" s="193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19">
        <f>VLOOKUP($H$736,$AO$669:$AP$671,2,FALSE)</f>
        <v>0</v>
      </c>
      <c r="AK738" s="192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12" t="s">
        <v>1618</v>
      </c>
      <c r="F742" s="1912"/>
      <c r="G742" s="1912"/>
      <c r="H742" s="1912"/>
      <c r="I742" s="1912"/>
      <c r="J742" s="1912"/>
      <c r="K742" s="1912"/>
      <c r="L742" s="1912"/>
      <c r="M742" s="1912"/>
      <c r="N742" s="1912"/>
      <c r="O742" s="1912"/>
      <c r="P742" s="1912"/>
      <c r="Q742" s="1912"/>
      <c r="R742" s="1912"/>
      <c r="S742" s="1912"/>
      <c r="T742" s="1912"/>
      <c r="U742" s="1912"/>
      <c r="V742" s="1912"/>
      <c r="W742" s="1912"/>
      <c r="X742" s="1912"/>
      <c r="Y742" s="1912"/>
      <c r="Z742" s="1912"/>
      <c r="AA742" s="1912"/>
      <c r="AB742" s="1912"/>
      <c r="AC742" s="571"/>
      <c r="AD742" s="571"/>
      <c r="AE742" s="571"/>
      <c r="AF742" s="1992" t="s">
        <v>1581</v>
      </c>
      <c r="AG742" s="1992"/>
      <c r="AH742" s="1992"/>
      <c r="AI742" s="1992"/>
      <c r="AJ742" s="1992"/>
      <c r="AK742" s="1992"/>
      <c r="AL742" s="199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12"/>
      <c r="F743" s="1912"/>
      <c r="G743" s="1912"/>
      <c r="H743" s="1912"/>
      <c r="I743" s="1912"/>
      <c r="J743" s="1912"/>
      <c r="K743" s="1912"/>
      <c r="L743" s="1912"/>
      <c r="M743" s="1912"/>
      <c r="N743" s="1912"/>
      <c r="O743" s="1912"/>
      <c r="P743" s="1912"/>
      <c r="Q743" s="1912"/>
      <c r="R743" s="1912"/>
      <c r="S743" s="1912"/>
      <c r="T743" s="1912"/>
      <c r="U743" s="1912"/>
      <c r="V743" s="1912"/>
      <c r="W743" s="1912"/>
      <c r="X743" s="1912"/>
      <c r="Y743" s="1912"/>
      <c r="Z743" s="1912"/>
      <c r="AA743" s="1912"/>
      <c r="AB743" s="191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12" t="s">
        <v>1619</v>
      </c>
      <c r="F745" s="1912"/>
      <c r="G745" s="1912"/>
      <c r="H745" s="1912"/>
      <c r="I745" s="1912"/>
      <c r="J745" s="1912"/>
      <c r="K745" s="1912"/>
      <c r="L745" s="1912"/>
      <c r="M745" s="1912"/>
      <c r="N745" s="1912"/>
      <c r="O745" s="1912"/>
      <c r="P745" s="1912"/>
      <c r="Q745" s="1912"/>
      <c r="R745" s="1912"/>
      <c r="S745" s="1912"/>
      <c r="T745" s="1912"/>
      <c r="U745" s="1912"/>
      <c r="V745" s="1912"/>
      <c r="W745" s="1912"/>
      <c r="X745" s="1912"/>
      <c r="Y745" s="1912"/>
      <c r="Z745" s="1912"/>
      <c r="AA745" s="1912"/>
      <c r="AB745" s="1912"/>
      <c r="AC745" s="571"/>
      <c r="AD745" s="571"/>
      <c r="AE745" s="571"/>
      <c r="AF745" s="1992" t="s">
        <v>1598</v>
      </c>
      <c r="AG745" s="1992"/>
      <c r="AH745" s="1992"/>
      <c r="AI745" s="1992"/>
      <c r="AJ745" s="1992"/>
      <c r="AK745" s="1992"/>
      <c r="AL745" s="199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12"/>
      <c r="F746" s="1912"/>
      <c r="G746" s="1912"/>
      <c r="H746" s="1912"/>
      <c r="I746" s="1912"/>
      <c r="J746" s="1912"/>
      <c r="K746" s="1912"/>
      <c r="L746" s="1912"/>
      <c r="M746" s="1912"/>
      <c r="N746" s="1912"/>
      <c r="O746" s="1912"/>
      <c r="P746" s="1912"/>
      <c r="Q746" s="1912"/>
      <c r="R746" s="1912"/>
      <c r="S746" s="1912"/>
      <c r="T746" s="1912"/>
      <c r="U746" s="1912"/>
      <c r="V746" s="1912"/>
      <c r="W746" s="1912"/>
      <c r="X746" s="1912"/>
      <c r="Y746" s="1912"/>
      <c r="Z746" s="1912"/>
      <c r="AA746" s="1912"/>
      <c r="AB746" s="191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36" t="s">
        <v>698</v>
      </c>
      <c r="I748" s="193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19">
        <f>VLOOKUP($H$748,$AO$683:$AP$685,2,FALSE)</f>
        <v>2</v>
      </c>
      <c r="AK750" s="192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12" t="s">
        <v>1953</v>
      </c>
      <c r="F754" s="1912"/>
      <c r="G754" s="1912"/>
      <c r="H754" s="1912"/>
      <c r="I754" s="1912"/>
      <c r="J754" s="1912"/>
      <c r="K754" s="1912"/>
      <c r="L754" s="1912"/>
      <c r="M754" s="1912"/>
      <c r="N754" s="1912"/>
      <c r="O754" s="1912"/>
      <c r="P754" s="1912"/>
      <c r="Q754" s="1912"/>
      <c r="R754" s="1912"/>
      <c r="S754" s="1912"/>
      <c r="T754" s="1912"/>
      <c r="U754" s="1912"/>
      <c r="V754" s="1912"/>
      <c r="W754" s="1912"/>
      <c r="X754" s="1912"/>
      <c r="Y754" s="1912"/>
      <c r="Z754" s="1912"/>
      <c r="AA754" s="1912"/>
      <c r="AB754" s="1912"/>
      <c r="AC754" s="1912"/>
      <c r="AD754" s="1912"/>
      <c r="AE754" s="571"/>
      <c r="AF754" s="1992" t="s">
        <v>1581</v>
      </c>
      <c r="AG754" s="1992"/>
      <c r="AH754" s="1992"/>
      <c r="AI754" s="1992"/>
      <c r="AJ754" s="1992"/>
      <c r="AK754" s="1992"/>
      <c r="AL754" s="1992"/>
      <c r="AM754" s="648"/>
      <c r="AN754" s="719"/>
    </row>
    <row r="755" spans="1:81" s="605" customFormat="1" ht="13.7" customHeight="1">
      <c r="A755" s="585"/>
      <c r="B755" s="651"/>
      <c r="C755" s="977"/>
      <c r="D755" s="698"/>
      <c r="E755" s="1912"/>
      <c r="F755" s="1912"/>
      <c r="G755" s="1912"/>
      <c r="H755" s="1912"/>
      <c r="I755" s="1912"/>
      <c r="J755" s="1912"/>
      <c r="K755" s="1912"/>
      <c r="L755" s="1912"/>
      <c r="M755" s="1912"/>
      <c r="N755" s="1912"/>
      <c r="O755" s="1912"/>
      <c r="P755" s="1912"/>
      <c r="Q755" s="1912"/>
      <c r="R755" s="1912"/>
      <c r="S755" s="1912"/>
      <c r="T755" s="1912"/>
      <c r="U755" s="1912"/>
      <c r="V755" s="1912"/>
      <c r="W755" s="1912"/>
      <c r="X755" s="1912"/>
      <c r="Y755" s="1912"/>
      <c r="Z755" s="1912"/>
      <c r="AA755" s="1912"/>
      <c r="AB755" s="1912"/>
      <c r="AC755" s="1912"/>
      <c r="AD755" s="1912"/>
      <c r="AE755" s="571"/>
      <c r="AF755" s="629"/>
      <c r="AG755" s="629"/>
      <c r="AH755" s="629"/>
      <c r="AI755" s="629"/>
      <c r="AJ755" s="629"/>
      <c r="AK755" s="629"/>
      <c r="AL755" s="629"/>
      <c r="AM755" s="648"/>
      <c r="AN755" s="719"/>
    </row>
    <row r="756" spans="1:81" s="605" customFormat="1">
      <c r="A756" s="585"/>
      <c r="B756" s="651"/>
      <c r="C756" s="977"/>
      <c r="D756" s="698"/>
      <c r="E756" s="1912"/>
      <c r="F756" s="1912"/>
      <c r="G756" s="1912"/>
      <c r="H756" s="1912"/>
      <c r="I756" s="1912"/>
      <c r="J756" s="1912"/>
      <c r="K756" s="1912"/>
      <c r="L756" s="1912"/>
      <c r="M756" s="1912"/>
      <c r="N756" s="1912"/>
      <c r="O756" s="1912"/>
      <c r="P756" s="1912"/>
      <c r="Q756" s="1912"/>
      <c r="R756" s="1912"/>
      <c r="S756" s="1912"/>
      <c r="T756" s="1912"/>
      <c r="U756" s="1912"/>
      <c r="V756" s="1912"/>
      <c r="W756" s="1912"/>
      <c r="X756" s="1912"/>
      <c r="Y756" s="1912"/>
      <c r="Z756" s="1912"/>
      <c r="AA756" s="1912"/>
      <c r="AB756" s="1912"/>
      <c r="AC756" s="1912"/>
      <c r="AD756" s="191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12"/>
      <c r="F757" s="1912"/>
      <c r="G757" s="1912"/>
      <c r="H757" s="1912"/>
      <c r="I757" s="1912"/>
      <c r="J757" s="1912"/>
      <c r="K757" s="1912"/>
      <c r="L757" s="1912"/>
      <c r="M757" s="1912"/>
      <c r="N757" s="1912"/>
      <c r="O757" s="1912"/>
      <c r="P757" s="1912"/>
      <c r="Q757" s="1912"/>
      <c r="R757" s="1912"/>
      <c r="S757" s="1912"/>
      <c r="T757" s="1912"/>
      <c r="U757" s="1912"/>
      <c r="V757" s="1912"/>
      <c r="W757" s="1912"/>
      <c r="X757" s="1912"/>
      <c r="Y757" s="1912"/>
      <c r="Z757" s="1912"/>
      <c r="AA757" s="1912"/>
      <c r="AB757" s="1912"/>
      <c r="AC757" s="1912"/>
      <c r="AD757" s="191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24" t="s">
        <v>1958</v>
      </c>
      <c r="F759" s="2024"/>
      <c r="G759" s="2024"/>
      <c r="H759" s="2024"/>
      <c r="I759" s="2024"/>
      <c r="J759" s="2024"/>
      <c r="K759" s="2024"/>
      <c r="L759" s="2024"/>
      <c r="M759" s="2024"/>
      <c r="N759" s="2024"/>
      <c r="O759" s="2024"/>
      <c r="P759" s="2024"/>
      <c r="Q759" s="2024"/>
      <c r="R759" s="2024"/>
      <c r="S759" s="2024"/>
      <c r="T759" s="2024"/>
      <c r="U759" s="2024"/>
      <c r="V759" s="2024"/>
      <c r="W759" s="2024"/>
      <c r="X759" s="2024"/>
      <c r="Y759" s="2024"/>
      <c r="Z759" s="2024"/>
      <c r="AA759" s="2024"/>
      <c r="AB759" s="2024"/>
      <c r="AC759" s="2024"/>
      <c r="AD759" s="2024"/>
      <c r="AE759" s="571"/>
      <c r="AF759" s="1992" t="s">
        <v>1525</v>
      </c>
      <c r="AG759" s="1992"/>
      <c r="AH759" s="1992"/>
      <c r="AI759" s="1992"/>
      <c r="AJ759" s="1992"/>
      <c r="AK759" s="1992"/>
      <c r="AL759" s="1992"/>
      <c r="AM759" s="648"/>
      <c r="AN759" s="632"/>
    </row>
    <row r="760" spans="1:81" s="585" customFormat="1" ht="12.75" customHeight="1">
      <c r="B760" s="651"/>
      <c r="C760" s="977"/>
      <c r="D760" s="698"/>
      <c r="E760" s="2024"/>
      <c r="F760" s="2024"/>
      <c r="G760" s="2024"/>
      <c r="H760" s="2024"/>
      <c r="I760" s="2024"/>
      <c r="J760" s="2024"/>
      <c r="K760" s="2024"/>
      <c r="L760" s="2024"/>
      <c r="M760" s="2024"/>
      <c r="N760" s="2024"/>
      <c r="O760" s="2024"/>
      <c r="P760" s="2024"/>
      <c r="Q760" s="2024"/>
      <c r="R760" s="2024"/>
      <c r="S760" s="2024"/>
      <c r="T760" s="2024"/>
      <c r="U760" s="2024"/>
      <c r="V760" s="2024"/>
      <c r="W760" s="2024"/>
      <c r="X760" s="2024"/>
      <c r="Y760" s="2024"/>
      <c r="Z760" s="2024"/>
      <c r="AA760" s="2024"/>
      <c r="AB760" s="2024"/>
      <c r="AC760" s="2024"/>
      <c r="AD760" s="2024"/>
      <c r="AE760" s="629"/>
      <c r="AF760" s="629"/>
      <c r="AG760" s="629"/>
      <c r="AH760" s="629"/>
      <c r="AI760" s="629"/>
      <c r="AJ760" s="629"/>
      <c r="AK760" s="629"/>
      <c r="AL760" s="629"/>
      <c r="AM760" s="648"/>
      <c r="AN760" s="632"/>
    </row>
    <row r="761" spans="1:81" s="585" customFormat="1" ht="12.75" customHeight="1">
      <c r="B761" s="651"/>
      <c r="C761" s="977"/>
      <c r="D761" s="698"/>
      <c r="E761" s="2024"/>
      <c r="F761" s="2024"/>
      <c r="G761" s="2024"/>
      <c r="H761" s="2024"/>
      <c r="I761" s="2024"/>
      <c r="J761" s="2024"/>
      <c r="K761" s="2024"/>
      <c r="L761" s="2024"/>
      <c r="M761" s="2024"/>
      <c r="N761" s="2024"/>
      <c r="O761" s="2024"/>
      <c r="P761" s="2024"/>
      <c r="Q761" s="2024"/>
      <c r="R761" s="2024"/>
      <c r="S761" s="2024"/>
      <c r="T761" s="2024"/>
      <c r="U761" s="2024"/>
      <c r="V761" s="2024"/>
      <c r="W761" s="2024"/>
      <c r="X761" s="2024"/>
      <c r="Y761" s="2024"/>
      <c r="Z761" s="2024"/>
      <c r="AA761" s="2024"/>
      <c r="AB761" s="2024"/>
      <c r="AC761" s="2024"/>
      <c r="AD761" s="2024"/>
      <c r="AE761" s="629"/>
      <c r="AF761" s="629"/>
      <c r="AG761" s="629"/>
      <c r="AH761" s="629"/>
      <c r="AI761" s="629"/>
      <c r="AJ761" s="629"/>
      <c r="AK761" s="629"/>
      <c r="AL761" s="629"/>
      <c r="AM761" s="648"/>
      <c r="AN761" s="632"/>
    </row>
    <row r="762" spans="1:81" s="585" customFormat="1" ht="12.75" customHeight="1">
      <c r="B762" s="651"/>
      <c r="C762" s="977"/>
      <c r="D762" s="698"/>
      <c r="E762" s="2024"/>
      <c r="F762" s="2024"/>
      <c r="G762" s="2024"/>
      <c r="H762" s="2024"/>
      <c r="I762" s="2024"/>
      <c r="J762" s="2024"/>
      <c r="K762" s="2024"/>
      <c r="L762" s="2024"/>
      <c r="M762" s="2024"/>
      <c r="N762" s="2024"/>
      <c r="O762" s="2024"/>
      <c r="P762" s="2024"/>
      <c r="Q762" s="2024"/>
      <c r="R762" s="2024"/>
      <c r="S762" s="2024"/>
      <c r="T762" s="2024"/>
      <c r="U762" s="2024"/>
      <c r="V762" s="2024"/>
      <c r="W762" s="2024"/>
      <c r="X762" s="2024"/>
      <c r="Y762" s="2024"/>
      <c r="Z762" s="2024"/>
      <c r="AA762" s="2024"/>
      <c r="AB762" s="2024"/>
      <c r="AC762" s="2024"/>
      <c r="AD762" s="202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36" t="s">
        <v>601</v>
      </c>
      <c r="I764" s="193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19">
        <f>VLOOKUP($H$764,$AP$705:$AQ$707,2,FALSE)</f>
        <v>0</v>
      </c>
      <c r="AK766" s="192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12" t="s">
        <v>2431</v>
      </c>
      <c r="F770" s="1912"/>
      <c r="G770" s="1912"/>
      <c r="H770" s="1912"/>
      <c r="I770" s="1912"/>
      <c r="J770" s="1912"/>
      <c r="K770" s="1912"/>
      <c r="L770" s="1912"/>
      <c r="M770" s="1912"/>
      <c r="N770" s="1912"/>
      <c r="O770" s="1912"/>
      <c r="P770" s="1912"/>
      <c r="Q770" s="1912"/>
      <c r="R770" s="1912"/>
      <c r="S770" s="1912"/>
      <c r="T770" s="1912"/>
      <c r="U770" s="1912"/>
      <c r="V770" s="1912"/>
      <c r="W770" s="1912"/>
      <c r="X770" s="1912"/>
      <c r="Y770" s="1912"/>
      <c r="Z770" s="1912"/>
      <c r="AA770" s="1912"/>
      <c r="AB770" s="1912"/>
      <c r="AC770" s="1912"/>
      <c r="AD770" s="1912"/>
      <c r="AE770" s="571"/>
      <c r="AF770" s="1992" t="s">
        <v>1525</v>
      </c>
      <c r="AG770" s="1992"/>
      <c r="AH770" s="1992"/>
      <c r="AI770" s="1992"/>
      <c r="AJ770" s="1992"/>
      <c r="AK770" s="1992"/>
      <c r="AL770" s="1992"/>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12"/>
      <c r="F771" s="1912"/>
      <c r="G771" s="1912"/>
      <c r="H771" s="1912"/>
      <c r="I771" s="1912"/>
      <c r="J771" s="1912"/>
      <c r="K771" s="1912"/>
      <c r="L771" s="1912"/>
      <c r="M771" s="1912"/>
      <c r="N771" s="1912"/>
      <c r="O771" s="1912"/>
      <c r="P771" s="1912"/>
      <c r="Q771" s="1912"/>
      <c r="R771" s="1912"/>
      <c r="S771" s="1912"/>
      <c r="T771" s="1912"/>
      <c r="U771" s="1912"/>
      <c r="V771" s="1912"/>
      <c r="W771" s="1912"/>
      <c r="X771" s="1912"/>
      <c r="Y771" s="1912"/>
      <c r="Z771" s="1912"/>
      <c r="AA771" s="1912"/>
      <c r="AB771" s="1912"/>
      <c r="AC771" s="1912"/>
      <c r="AD771" s="191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12"/>
      <c r="F772" s="1912"/>
      <c r="G772" s="1912"/>
      <c r="H772" s="1912"/>
      <c r="I772" s="1912"/>
      <c r="J772" s="1912"/>
      <c r="K772" s="1912"/>
      <c r="L772" s="1912"/>
      <c r="M772" s="1912"/>
      <c r="N772" s="1912"/>
      <c r="O772" s="1912"/>
      <c r="P772" s="1912"/>
      <c r="Q772" s="1912"/>
      <c r="R772" s="1912"/>
      <c r="S772" s="1912"/>
      <c r="T772" s="1912"/>
      <c r="U772" s="1912"/>
      <c r="V772" s="1912"/>
      <c r="W772" s="1912"/>
      <c r="X772" s="1912"/>
      <c r="Y772" s="1912"/>
      <c r="Z772" s="1912"/>
      <c r="AA772" s="1912"/>
      <c r="AB772" s="1912"/>
      <c r="AC772" s="1912"/>
      <c r="AD772" s="191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12"/>
      <c r="F773" s="1912"/>
      <c r="G773" s="1912"/>
      <c r="H773" s="1912"/>
      <c r="I773" s="1912"/>
      <c r="J773" s="1912"/>
      <c r="K773" s="1912"/>
      <c r="L773" s="1912"/>
      <c r="M773" s="1912"/>
      <c r="N773" s="1912"/>
      <c r="O773" s="1912"/>
      <c r="P773" s="1912"/>
      <c r="Q773" s="1912"/>
      <c r="R773" s="1912"/>
      <c r="S773" s="1912"/>
      <c r="T773" s="1912"/>
      <c r="U773" s="1912"/>
      <c r="V773" s="1912"/>
      <c r="W773" s="1912"/>
      <c r="X773" s="1912"/>
      <c r="Y773" s="1912"/>
      <c r="Z773" s="1912"/>
      <c r="AA773" s="1912"/>
      <c r="AB773" s="1912"/>
      <c r="AC773" s="1912"/>
      <c r="AD773" s="191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36" t="s">
        <v>555</v>
      </c>
      <c r="I775" s="193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19">
        <f>VLOOKUP($H$775,$AO$769:$AP$770,2,FALSE)</f>
        <v>3</v>
      </c>
      <c r="AK777" s="192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19">
        <f>IF(($AJ$610+$AJ$629+$AJ$641+$AJ$676+$AJ$696+$AJ$710+$AJ$722+$AJ$738+$AJ$750+$AJ$766+AJ777)&gt;10,10,($AJ$610+$AJ$629+$AJ$641+$AJ$676+$AJ$696+$AJ$710+$AJ$722+$AJ$738+$AJ$750+$AJ$766+AJ777))</f>
        <v>10</v>
      </c>
      <c r="AL779" s="1920"/>
      <c r="AM779" s="192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83" t="s">
        <v>1746</v>
      </c>
      <c r="B782" s="1984"/>
      <c r="C782" s="1984"/>
      <c r="D782" s="1984"/>
      <c r="E782" s="1984"/>
      <c r="F782" s="1984"/>
      <c r="G782" s="1984"/>
      <c r="H782" s="1984"/>
      <c r="I782" s="1984"/>
      <c r="J782" s="1984"/>
      <c r="K782" s="1984"/>
      <c r="L782" s="1984"/>
      <c r="M782" s="1984"/>
      <c r="N782" s="1984"/>
      <c r="O782" s="1984"/>
      <c r="P782" s="1984"/>
      <c r="Q782" s="1984"/>
      <c r="R782" s="1984"/>
      <c r="S782" s="1984"/>
      <c r="T782" s="1984"/>
      <c r="U782" s="1984"/>
      <c r="V782" s="1984"/>
      <c r="W782" s="1984"/>
      <c r="X782" s="1984"/>
      <c r="Y782" s="1984"/>
      <c r="Z782" s="1984"/>
      <c r="AA782" s="1984"/>
      <c r="AB782" s="1984"/>
      <c r="AC782" s="1984"/>
      <c r="AD782" s="1984"/>
      <c r="AE782" s="1984"/>
      <c r="AF782" s="1984"/>
      <c r="AG782" s="1984"/>
      <c r="AH782" s="1984"/>
      <c r="AI782" s="1984"/>
      <c r="AJ782" s="1984"/>
      <c r="AK782" s="1984"/>
      <c r="AL782" s="1984"/>
      <c r="AM782" s="1984"/>
    </row>
    <row r="783" spans="1:81">
      <c r="A783" s="1985"/>
      <c r="B783" s="1985"/>
      <c r="C783" s="1985"/>
      <c r="D783" s="1985"/>
      <c r="E783" s="1985"/>
      <c r="F783" s="1985"/>
      <c r="G783" s="1985"/>
      <c r="H783" s="1985"/>
      <c r="I783" s="1985"/>
      <c r="J783" s="1985"/>
      <c r="K783" s="1985"/>
      <c r="L783" s="1985"/>
      <c r="M783" s="1985"/>
      <c r="N783" s="1985"/>
      <c r="O783" s="1985"/>
      <c r="P783" s="1985"/>
      <c r="Q783" s="1985"/>
      <c r="R783" s="1985"/>
      <c r="S783" s="1985"/>
      <c r="T783" s="1985"/>
      <c r="U783" s="1985"/>
      <c r="V783" s="1985"/>
      <c r="W783" s="1985"/>
      <c r="X783" s="1985"/>
      <c r="Y783" s="1985"/>
      <c r="Z783" s="1985"/>
      <c r="AA783" s="1985"/>
      <c r="AB783" s="1985"/>
      <c r="AC783" s="1985"/>
      <c r="AD783" s="1985"/>
      <c r="AE783" s="1985"/>
      <c r="AF783" s="1985"/>
      <c r="AG783" s="1985"/>
      <c r="AH783" s="1985"/>
      <c r="AI783" s="1985"/>
      <c r="AJ783" s="1985"/>
      <c r="AK783" s="1985"/>
      <c r="AL783" s="1985"/>
      <c r="AM783" s="198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22"/>
      <c r="B785" s="1922"/>
      <c r="C785" s="1922"/>
      <c r="D785" s="1922"/>
      <c r="E785" s="1922"/>
      <c r="F785" s="1922"/>
      <c r="G785" s="1922"/>
      <c r="H785" s="1922"/>
      <c r="I785" s="1922"/>
      <c r="J785" s="1922"/>
      <c r="K785" s="1922"/>
      <c r="L785" s="1922"/>
      <c r="M785" s="1922"/>
      <c r="N785" s="1922"/>
      <c r="O785" s="1922"/>
      <c r="P785" s="1922"/>
      <c r="Q785" s="1922"/>
      <c r="R785" s="1922"/>
      <c r="S785" s="1922"/>
      <c r="T785" s="1922"/>
      <c r="U785" s="1922"/>
      <c r="V785" s="1922"/>
      <c r="W785" s="1922"/>
      <c r="X785" s="1922"/>
      <c r="Y785" s="1922"/>
      <c r="Z785" s="1922"/>
      <c r="AA785" s="1922"/>
      <c r="AB785" s="1922"/>
      <c r="AC785" s="1922"/>
      <c r="AD785" s="1922"/>
      <c r="AE785" s="1922"/>
      <c r="AF785" s="1922"/>
      <c r="AG785" s="1922"/>
      <c r="AH785" s="1922"/>
      <c r="AI785" s="1922"/>
      <c r="AJ785" s="1922"/>
      <c r="AK785" s="1922"/>
      <c r="AL785" s="1922"/>
      <c r="AM785" s="1922"/>
      <c r="AP785" s="852"/>
      <c r="AQ785" s="852"/>
    </row>
    <row r="786" spans="1:81">
      <c r="A786" s="1922"/>
      <c r="B786" s="1922"/>
      <c r="C786" s="1922"/>
      <c r="D786" s="1922"/>
      <c r="E786" s="1922"/>
      <c r="F786" s="1922"/>
      <c r="G786" s="1922"/>
      <c r="H786" s="1922"/>
      <c r="I786" s="1922"/>
      <c r="J786" s="1922"/>
      <c r="K786" s="1922"/>
      <c r="L786" s="1922"/>
      <c r="M786" s="1922"/>
      <c r="N786" s="1922"/>
      <c r="O786" s="1922"/>
      <c r="P786" s="1922"/>
      <c r="Q786" s="1922"/>
      <c r="R786" s="1922"/>
      <c r="S786" s="1922"/>
      <c r="T786" s="1922"/>
      <c r="U786" s="1922"/>
      <c r="V786" s="1922"/>
      <c r="W786" s="1922"/>
      <c r="X786" s="1922"/>
      <c r="Y786" s="1922"/>
      <c r="Z786" s="1922"/>
      <c r="AA786" s="1922"/>
      <c r="AB786" s="1922"/>
      <c r="AC786" s="1922"/>
      <c r="AD786" s="1922"/>
      <c r="AE786" s="1922"/>
      <c r="AF786" s="1922"/>
      <c r="AG786" s="1922"/>
      <c r="AH786" s="1922"/>
      <c r="AI786" s="1922"/>
      <c r="AJ786" s="1922"/>
      <c r="AK786" s="1922"/>
      <c r="AL786" s="1922"/>
      <c r="AM786" s="1922"/>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6" t="s">
        <v>1747</v>
      </c>
      <c r="U787" s="1987"/>
      <c r="V787" s="1987"/>
      <c r="W787" s="1987"/>
      <c r="X787" s="1987"/>
      <c r="Y787" s="1988"/>
      <c r="Z787" s="1986" t="s">
        <v>1748</v>
      </c>
      <c r="AA787" s="1987"/>
      <c r="AB787" s="1987"/>
      <c r="AC787" s="1987"/>
      <c r="AD787" s="1987"/>
      <c r="AE787" s="1988"/>
      <c r="AF787" s="1986" t="s">
        <v>1749</v>
      </c>
      <c r="AG787" s="1987"/>
      <c r="AH787" s="1987"/>
      <c r="AI787" s="1987"/>
      <c r="AJ787" s="1987"/>
      <c r="AK787" s="198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89"/>
      <c r="U788" s="1990"/>
      <c r="V788" s="1990"/>
      <c r="W788" s="1990"/>
      <c r="X788" s="1990"/>
      <c r="Y788" s="1991"/>
      <c r="Z788" s="1989"/>
      <c r="AA788" s="1990"/>
      <c r="AB788" s="1990"/>
      <c r="AC788" s="1990"/>
      <c r="AD788" s="1990"/>
      <c r="AE788" s="1991"/>
      <c r="AF788" s="1989"/>
      <c r="AG788" s="1990"/>
      <c r="AH788" s="1990"/>
      <c r="AI788" s="1990"/>
      <c r="AJ788" s="1990"/>
      <c r="AK788" s="1991"/>
      <c r="AL788" s="854"/>
      <c r="AM788" s="631"/>
      <c r="AO788" s="852"/>
      <c r="AP788" s="852"/>
      <c r="AQ788" s="852"/>
    </row>
    <row r="789" spans="1:81">
      <c r="A789" s="855" t="s">
        <v>770</v>
      </c>
      <c r="B789" s="1943" t="s">
        <v>1477</v>
      </c>
      <c r="C789" s="1943"/>
      <c r="D789" s="1943"/>
      <c r="E789" s="1943"/>
      <c r="F789" s="1943"/>
      <c r="G789" s="1943"/>
      <c r="H789" s="1943"/>
      <c r="I789" s="1943"/>
      <c r="J789" s="1943"/>
      <c r="K789" s="1943"/>
      <c r="L789" s="1943"/>
      <c r="M789" s="1943"/>
      <c r="N789" s="1943"/>
      <c r="O789" s="1943"/>
      <c r="P789" s="1943"/>
      <c r="Q789" s="1943"/>
      <c r="R789" s="1943"/>
      <c r="S789" s="1944"/>
      <c r="T789" s="1971">
        <f>AK56</f>
        <v>0</v>
      </c>
      <c r="U789" s="1947"/>
      <c r="V789" s="1947"/>
      <c r="W789" s="1947"/>
      <c r="X789" s="1947"/>
      <c r="Y789" s="1948"/>
      <c r="Z789" s="1946">
        <v>20</v>
      </c>
      <c r="AA789" s="1947"/>
      <c r="AB789" s="1947"/>
      <c r="AC789" s="1947"/>
      <c r="AD789" s="1947"/>
      <c r="AE789" s="1948"/>
      <c r="AF789" s="1932">
        <f>IF(T789&gt;Z789,Z789,T789)</f>
        <v>0</v>
      </c>
      <c r="AG789" s="1932"/>
      <c r="AH789" s="1932"/>
      <c r="AI789" s="1932"/>
      <c r="AJ789" s="1932"/>
      <c r="AK789" s="1932"/>
      <c r="AL789" s="854"/>
      <c r="AM789" s="631"/>
      <c r="AO789" s="852"/>
      <c r="AP789" s="852"/>
      <c r="AQ789" s="852"/>
    </row>
    <row r="790" spans="1:81">
      <c r="A790" s="855" t="s">
        <v>1719</v>
      </c>
      <c r="B790" s="1943" t="s">
        <v>1486</v>
      </c>
      <c r="C790" s="1943"/>
      <c r="D790" s="1943"/>
      <c r="E790" s="1943"/>
      <c r="F790" s="1943"/>
      <c r="G790" s="1943"/>
      <c r="H790" s="1943"/>
      <c r="I790" s="1943"/>
      <c r="J790" s="1943"/>
      <c r="K790" s="1943"/>
      <c r="L790" s="1943"/>
      <c r="M790" s="1943"/>
      <c r="N790" s="1943"/>
      <c r="O790" s="1943"/>
      <c r="P790" s="1943"/>
      <c r="Q790" s="1943"/>
      <c r="R790" s="1943"/>
      <c r="S790" s="1944"/>
      <c r="T790" s="1971">
        <f>AK78</f>
        <v>10</v>
      </c>
      <c r="U790" s="1947"/>
      <c r="V790" s="1947"/>
      <c r="W790" s="1947"/>
      <c r="X790" s="1947"/>
      <c r="Y790" s="1948"/>
      <c r="Z790" s="1946">
        <v>10</v>
      </c>
      <c r="AA790" s="1947"/>
      <c r="AB790" s="1947"/>
      <c r="AC790" s="1947"/>
      <c r="AD790" s="1947"/>
      <c r="AE790" s="1948"/>
      <c r="AF790" s="1932">
        <f>IF(T790&gt;Z790,Z790,T790)</f>
        <v>10</v>
      </c>
      <c r="AG790" s="1932"/>
      <c r="AH790" s="1932"/>
      <c r="AI790" s="1932"/>
      <c r="AJ790" s="1932"/>
      <c r="AK790" s="1932"/>
      <c r="AL790" s="854"/>
      <c r="AM790" s="631"/>
      <c r="AO790" s="852"/>
      <c r="AP790" s="852"/>
      <c r="AQ790" s="852"/>
    </row>
    <row r="791" spans="1:81">
      <c r="A791" s="855" t="s">
        <v>1728</v>
      </c>
      <c r="B791" s="1943" t="s">
        <v>1496</v>
      </c>
      <c r="C791" s="1943"/>
      <c r="D791" s="1943"/>
      <c r="E791" s="1943"/>
      <c r="F791" s="1943"/>
      <c r="G791" s="1943"/>
      <c r="H791" s="1943"/>
      <c r="I791" s="1943"/>
      <c r="J791" s="1943"/>
      <c r="K791" s="1943"/>
      <c r="L791" s="1943"/>
      <c r="M791" s="1943"/>
      <c r="N791" s="1943"/>
      <c r="O791" s="1943"/>
      <c r="P791" s="1943"/>
      <c r="Q791" s="1943"/>
      <c r="R791" s="1943"/>
      <c r="S791" s="1944"/>
      <c r="T791" s="1971">
        <f>AK103</f>
        <v>20</v>
      </c>
      <c r="U791" s="1947"/>
      <c r="V791" s="1947"/>
      <c r="W791" s="1947"/>
      <c r="X791" s="1947"/>
      <c r="Y791" s="1948"/>
      <c r="Z791" s="1946">
        <v>20</v>
      </c>
      <c r="AA791" s="1947"/>
      <c r="AB791" s="1947"/>
      <c r="AC791" s="1947"/>
      <c r="AD791" s="1947"/>
      <c r="AE791" s="1948"/>
      <c r="AF791" s="1932">
        <f>IF(T791&gt;Z791,Z791,T791)</f>
        <v>20</v>
      </c>
      <c r="AG791" s="1932"/>
      <c r="AH791" s="1932"/>
      <c r="AI791" s="1932"/>
      <c r="AJ791" s="1932"/>
      <c r="AK791" s="1932"/>
      <c r="AL791" s="854"/>
      <c r="AM791" s="631"/>
      <c r="AO791" s="852"/>
      <c r="AP791" s="852"/>
      <c r="AQ791" s="852"/>
    </row>
    <row r="792" spans="1:81">
      <c r="A792" s="855" t="s">
        <v>1750</v>
      </c>
      <c r="B792" s="1943" t="s">
        <v>1506</v>
      </c>
      <c r="C792" s="1943"/>
      <c r="D792" s="1943"/>
      <c r="E792" s="1943"/>
      <c r="F792" s="1943"/>
      <c r="G792" s="1943"/>
      <c r="H792" s="1943"/>
      <c r="I792" s="1943"/>
      <c r="J792" s="1943"/>
      <c r="K792" s="1943"/>
      <c r="L792" s="1943"/>
      <c r="M792" s="1943"/>
      <c r="N792" s="1943"/>
      <c r="O792" s="1943"/>
      <c r="P792" s="1943"/>
      <c r="Q792" s="1943"/>
      <c r="R792" s="1943"/>
      <c r="S792" s="1944"/>
      <c r="T792" s="1971">
        <f>AK137</f>
        <v>10</v>
      </c>
      <c r="U792" s="1947"/>
      <c r="V792" s="1947"/>
      <c r="W792" s="1947"/>
      <c r="X792" s="1947"/>
      <c r="Y792" s="1948"/>
      <c r="Z792" s="1946">
        <v>10</v>
      </c>
      <c r="AA792" s="1947"/>
      <c r="AB792" s="1947"/>
      <c r="AC792" s="1947"/>
      <c r="AD792" s="1947"/>
      <c r="AE792" s="1948"/>
      <c r="AF792" s="1932">
        <f>IF(T792&gt;Z792,Z792,T792)</f>
        <v>10</v>
      </c>
      <c r="AG792" s="1932"/>
      <c r="AH792" s="1932"/>
      <c r="AI792" s="1932"/>
      <c r="AJ792" s="1932"/>
      <c r="AK792" s="1932"/>
      <c r="AL792" s="854"/>
      <c r="AM792" s="631"/>
      <c r="AO792" s="852"/>
      <c r="AP792" s="852"/>
      <c r="AQ792" s="852"/>
    </row>
    <row r="793" spans="1:81">
      <c r="A793" s="856" t="s">
        <v>1751</v>
      </c>
      <c r="B793" s="1943" t="s">
        <v>1752</v>
      </c>
      <c r="C793" s="1943"/>
      <c r="D793" s="1943"/>
      <c r="E793" s="1943"/>
      <c r="F793" s="1943"/>
      <c r="G793" s="1943"/>
      <c r="H793" s="1943"/>
      <c r="I793" s="1943"/>
      <c r="J793" s="1943"/>
      <c r="K793" s="1943"/>
      <c r="L793" s="1943"/>
      <c r="M793" s="1943"/>
      <c r="N793" s="1943"/>
      <c r="O793" s="1943"/>
      <c r="P793" s="1943"/>
      <c r="Q793" s="1943"/>
      <c r="R793" s="1943"/>
      <c r="S793" s="1944"/>
      <c r="T793" s="1945">
        <f>SUM(T794:Y795)</f>
        <v>10</v>
      </c>
      <c r="U793" s="1945"/>
      <c r="V793" s="1945"/>
      <c r="W793" s="1945"/>
      <c r="X793" s="1945"/>
      <c r="Y793" s="1945"/>
      <c r="Z793" s="1932">
        <v>10</v>
      </c>
      <c r="AA793" s="1932"/>
      <c r="AB793" s="1932"/>
      <c r="AC793" s="1932"/>
      <c r="AD793" s="1932"/>
      <c r="AE793" s="1932"/>
      <c r="AF793" s="1932">
        <f>IF(T793&gt;Z793,Z793,T793)</f>
        <v>10</v>
      </c>
      <c r="AG793" s="1932"/>
      <c r="AH793" s="1932"/>
      <c r="AI793" s="1932"/>
      <c r="AJ793" s="1932"/>
      <c r="AK793" s="1932"/>
      <c r="AL793" s="854"/>
      <c r="AM793" s="631"/>
    </row>
    <row r="794" spans="1:81">
      <c r="A794" s="570"/>
      <c r="B794" s="636"/>
      <c r="C794" s="1949" t="s">
        <v>1753</v>
      </c>
      <c r="D794" s="1949"/>
      <c r="E794" s="1949"/>
      <c r="F794" s="1949"/>
      <c r="G794" s="1949"/>
      <c r="H794" s="1949"/>
      <c r="I794" s="1949"/>
      <c r="J794" s="1949"/>
      <c r="K794" s="1949"/>
      <c r="L794" s="1949"/>
      <c r="M794" s="1949"/>
      <c r="N794" s="1949"/>
      <c r="O794" s="1949"/>
      <c r="P794" s="1949"/>
      <c r="Q794" s="1949"/>
      <c r="R794" s="1949"/>
      <c r="S794" s="1950"/>
      <c r="T794" s="1951">
        <f>AJ155</f>
        <v>7</v>
      </c>
      <c r="U794" s="1951"/>
      <c r="V794" s="1951"/>
      <c r="W794" s="1951"/>
      <c r="X794" s="1951"/>
      <c r="Y794" s="1951"/>
      <c r="Z794" s="1952">
        <v>7</v>
      </c>
      <c r="AA794" s="1952"/>
      <c r="AB794" s="1952"/>
      <c r="AC794" s="1952"/>
      <c r="AD794" s="1952"/>
      <c r="AE794" s="1952"/>
      <c r="AF794" s="1953"/>
      <c r="AG794" s="1953"/>
      <c r="AH794" s="1953"/>
      <c r="AI794" s="1953"/>
      <c r="AJ794" s="1953"/>
      <c r="AK794" s="1953"/>
      <c r="AL794" s="854"/>
      <c r="AM794" s="631"/>
    </row>
    <row r="795" spans="1:81">
      <c r="A795" s="635"/>
      <c r="B795" s="636"/>
      <c r="C795" s="1949" t="s">
        <v>1754</v>
      </c>
      <c r="D795" s="1949"/>
      <c r="E795" s="1949"/>
      <c r="F795" s="1949"/>
      <c r="G795" s="1949"/>
      <c r="H795" s="1949"/>
      <c r="I795" s="1949"/>
      <c r="J795" s="1949"/>
      <c r="K795" s="1949"/>
      <c r="L795" s="1949"/>
      <c r="M795" s="1949"/>
      <c r="N795" s="1949"/>
      <c r="O795" s="1949"/>
      <c r="P795" s="1949"/>
      <c r="Q795" s="1949"/>
      <c r="R795" s="1949"/>
      <c r="S795" s="1950"/>
      <c r="T795" s="1951">
        <f>AJ169</f>
        <v>3</v>
      </c>
      <c r="U795" s="1951"/>
      <c r="V795" s="1951"/>
      <c r="W795" s="1951"/>
      <c r="X795" s="1951"/>
      <c r="Y795" s="1951"/>
      <c r="Z795" s="1952">
        <v>3</v>
      </c>
      <c r="AA795" s="1952"/>
      <c r="AB795" s="1952"/>
      <c r="AC795" s="1952"/>
      <c r="AD795" s="1952"/>
      <c r="AE795" s="1952"/>
      <c r="AF795" s="1953"/>
      <c r="AG795" s="1953"/>
      <c r="AH795" s="1953"/>
      <c r="AI795" s="1953"/>
      <c r="AJ795" s="1953"/>
      <c r="AK795" s="1953"/>
      <c r="AL795" s="854"/>
      <c r="AM795" s="631"/>
      <c r="AO795" s="585"/>
    </row>
    <row r="796" spans="1:81">
      <c r="A796" s="856" t="s">
        <v>1534</v>
      </c>
      <c r="B796" s="1943" t="s">
        <v>1755</v>
      </c>
      <c r="C796" s="1943"/>
      <c r="D796" s="1943"/>
      <c r="E796" s="1943"/>
      <c r="F796" s="1943"/>
      <c r="G796" s="1943"/>
      <c r="H796" s="1943"/>
      <c r="I796" s="1943"/>
      <c r="J796" s="1943"/>
      <c r="K796" s="1943"/>
      <c r="L796" s="1943"/>
      <c r="M796" s="1943"/>
      <c r="N796" s="1943"/>
      <c r="O796" s="1943"/>
      <c r="P796" s="1943"/>
      <c r="Q796" s="1943"/>
      <c r="R796" s="1943"/>
      <c r="S796" s="1944"/>
      <c r="T796" s="1945">
        <f>AK180</f>
        <v>10</v>
      </c>
      <c r="U796" s="1945"/>
      <c r="V796" s="1945"/>
      <c r="W796" s="1945"/>
      <c r="X796" s="1945"/>
      <c r="Y796" s="1945"/>
      <c r="Z796" s="1932">
        <v>10</v>
      </c>
      <c r="AA796" s="1932"/>
      <c r="AB796" s="1932"/>
      <c r="AC796" s="1932"/>
      <c r="AD796" s="1932"/>
      <c r="AE796" s="1932"/>
      <c r="AF796" s="1932">
        <f>IF(T796&gt;Z796,Z796,T796)</f>
        <v>10</v>
      </c>
      <c r="AG796" s="1932"/>
      <c r="AH796" s="1932"/>
      <c r="AI796" s="1932"/>
      <c r="AJ796" s="1932"/>
      <c r="AK796" s="1932"/>
      <c r="AL796" s="854"/>
      <c r="AM796" s="631"/>
    </row>
    <row r="797" spans="1:81">
      <c r="A797" s="855" t="s">
        <v>1543</v>
      </c>
      <c r="B797" s="1943" t="s">
        <v>1544</v>
      </c>
      <c r="C797" s="1943"/>
      <c r="D797" s="1943"/>
      <c r="E797" s="1943"/>
      <c r="F797" s="1943"/>
      <c r="G797" s="1943"/>
      <c r="H797" s="1943"/>
      <c r="I797" s="1943"/>
      <c r="J797" s="1943"/>
      <c r="K797" s="1943"/>
      <c r="L797" s="1943"/>
      <c r="M797" s="1943"/>
      <c r="N797" s="1943"/>
      <c r="O797" s="1943"/>
      <c r="P797" s="1943"/>
      <c r="Q797" s="1943"/>
      <c r="R797" s="1943"/>
      <c r="S797" s="1944"/>
      <c r="T797" s="1945">
        <f>AK262</f>
        <v>8</v>
      </c>
      <c r="U797" s="1945"/>
      <c r="V797" s="1945"/>
      <c r="W797" s="1945"/>
      <c r="X797" s="1945"/>
      <c r="Y797" s="1945"/>
      <c r="Z797" s="1946">
        <v>8</v>
      </c>
      <c r="AA797" s="1947"/>
      <c r="AB797" s="1947"/>
      <c r="AC797" s="1947"/>
      <c r="AD797" s="1947"/>
      <c r="AE797" s="1948"/>
      <c r="AF797" s="1932">
        <f>IF(T797&gt;Z797,Z797,T797)</f>
        <v>8</v>
      </c>
      <c r="AG797" s="1932"/>
      <c r="AH797" s="1932"/>
      <c r="AI797" s="1932"/>
      <c r="AJ797" s="1932"/>
      <c r="AK797" s="1932"/>
      <c r="AL797" s="854"/>
      <c r="AM797" s="631"/>
    </row>
    <row r="798" spans="1:81" s="569" customFormat="1" hidden="1">
      <c r="A798" s="856" t="s">
        <v>599</v>
      </c>
      <c r="B798" s="1943" t="s">
        <v>1756</v>
      </c>
      <c r="C798" s="1943"/>
      <c r="D798" s="1943"/>
      <c r="E798" s="1943"/>
      <c r="F798" s="1943"/>
      <c r="G798" s="1943"/>
      <c r="H798" s="1943"/>
      <c r="I798" s="1943"/>
      <c r="J798" s="1943"/>
      <c r="K798" s="1943"/>
      <c r="L798" s="1943"/>
      <c r="M798" s="1943"/>
      <c r="N798" s="1943"/>
      <c r="O798" s="1943"/>
      <c r="P798" s="1943"/>
      <c r="Q798" s="1943"/>
      <c r="R798" s="1943"/>
      <c r="S798" s="1944"/>
      <c r="T798" s="1945">
        <f>IF(AK524&gt;5,5,AK524)</f>
        <v>0</v>
      </c>
      <c r="U798" s="1945"/>
      <c r="V798" s="1945"/>
      <c r="W798" s="1945"/>
      <c r="X798" s="1945"/>
      <c r="Y798" s="1945"/>
      <c r="Z798" s="1932">
        <v>5</v>
      </c>
      <c r="AA798" s="1932"/>
      <c r="AB798" s="1932"/>
      <c r="AC798" s="1932"/>
      <c r="AD798" s="1932"/>
      <c r="AE798" s="1932"/>
      <c r="AF798" s="1932">
        <f>IF(T798&gt;Z798,5,T798)</f>
        <v>0</v>
      </c>
      <c r="AG798" s="1932"/>
      <c r="AH798" s="1932"/>
      <c r="AI798" s="1932"/>
      <c r="AJ798" s="1932"/>
      <c r="AK798" s="193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43" t="s">
        <v>1757</v>
      </c>
      <c r="C799" s="1943"/>
      <c r="D799" s="1943"/>
      <c r="E799" s="1943"/>
      <c r="F799" s="1943"/>
      <c r="G799" s="1943"/>
      <c r="H799" s="1943"/>
      <c r="I799" s="1943"/>
      <c r="J799" s="1943"/>
      <c r="K799" s="1943"/>
      <c r="L799" s="1943"/>
      <c r="M799" s="1943"/>
      <c r="N799" s="1943"/>
      <c r="O799" s="1943"/>
      <c r="P799" s="1943"/>
      <c r="Q799" s="1943"/>
      <c r="R799" s="1943"/>
      <c r="S799" s="1944"/>
      <c r="T799" s="1945">
        <f>AK274</f>
        <v>10</v>
      </c>
      <c r="U799" s="1945"/>
      <c r="V799" s="1945"/>
      <c r="W799" s="1945"/>
      <c r="X799" s="1945"/>
      <c r="Y799" s="1945"/>
      <c r="Z799" s="1932">
        <v>10</v>
      </c>
      <c r="AA799" s="1932"/>
      <c r="AB799" s="1932"/>
      <c r="AC799" s="1932"/>
      <c r="AD799" s="1932"/>
      <c r="AE799" s="1932"/>
      <c r="AF799" s="1954">
        <f>IF(T799&gt;Z799,Z799,T799)</f>
        <v>10</v>
      </c>
      <c r="AG799" s="1955"/>
      <c r="AH799" s="1955"/>
      <c r="AI799" s="1955"/>
      <c r="AJ799" s="1955"/>
      <c r="AK799" s="195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43" t="s">
        <v>1554</v>
      </c>
      <c r="C800" s="1943"/>
      <c r="D800" s="1943"/>
      <c r="E800" s="1943"/>
      <c r="F800" s="1943"/>
      <c r="G800" s="1943"/>
      <c r="H800" s="1943"/>
      <c r="I800" s="1943"/>
      <c r="J800" s="1943"/>
      <c r="K800" s="1943"/>
      <c r="L800" s="1943"/>
      <c r="M800" s="1943"/>
      <c r="N800" s="1943"/>
      <c r="O800" s="1943"/>
      <c r="P800" s="1943"/>
      <c r="Q800" s="1943"/>
      <c r="R800" s="1943"/>
      <c r="S800" s="1944"/>
      <c r="T800" s="1945">
        <f>AK327</f>
        <v>10</v>
      </c>
      <c r="U800" s="1945"/>
      <c r="V800" s="1945"/>
      <c r="W800" s="1945"/>
      <c r="X800" s="1945"/>
      <c r="Y800" s="1945"/>
      <c r="Z800" s="1954">
        <v>10</v>
      </c>
      <c r="AA800" s="1955"/>
      <c r="AB800" s="1955"/>
      <c r="AC800" s="1955"/>
      <c r="AD800" s="1955"/>
      <c r="AE800" s="1956"/>
      <c r="AF800" s="1954">
        <f>IF(T800&gt;Z800,Z800,T800)</f>
        <v>10</v>
      </c>
      <c r="AG800" s="1955"/>
      <c r="AH800" s="1955"/>
      <c r="AI800" s="1955"/>
      <c r="AJ800" s="1955"/>
      <c r="AK800" s="195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51">
        <f>AK327</f>
        <v>10</v>
      </c>
      <c r="U801" s="1951"/>
      <c r="V801" s="1951"/>
      <c r="W801" s="1951"/>
      <c r="X801" s="1951"/>
      <c r="Y801" s="1951"/>
      <c r="Z801" s="1919">
        <v>20</v>
      </c>
      <c r="AA801" s="1920"/>
      <c r="AB801" s="1920"/>
      <c r="AC801" s="1920"/>
      <c r="AD801" s="1920"/>
      <c r="AE801" s="1921"/>
      <c r="AF801" s="1953"/>
      <c r="AG801" s="1953"/>
      <c r="AH801" s="1953"/>
      <c r="AI801" s="1953"/>
      <c r="AJ801" s="1953"/>
      <c r="AK801" s="195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43" t="s">
        <v>874</v>
      </c>
      <c r="C802" s="1943"/>
      <c r="D802" s="1943"/>
      <c r="E802" s="1943"/>
      <c r="F802" s="1943"/>
      <c r="G802" s="1943"/>
      <c r="H802" s="1943"/>
      <c r="I802" s="1943"/>
      <c r="J802" s="1943"/>
      <c r="K802" s="1943"/>
      <c r="L802" s="1943"/>
      <c r="M802" s="1943"/>
      <c r="N802" s="1943"/>
      <c r="O802" s="1943"/>
      <c r="P802" s="1943"/>
      <c r="Q802" s="1943"/>
      <c r="R802" s="1943"/>
      <c r="S802" s="1944"/>
      <c r="T802" s="1945">
        <f>AK458</f>
        <v>10</v>
      </c>
      <c r="U802" s="1945"/>
      <c r="V802" s="1945"/>
      <c r="W802" s="1945"/>
      <c r="X802" s="1945"/>
      <c r="Y802" s="1945"/>
      <c r="Z802" s="1954">
        <v>10</v>
      </c>
      <c r="AA802" s="1955"/>
      <c r="AB802" s="1955"/>
      <c r="AC802" s="1955"/>
      <c r="AD802" s="1955"/>
      <c r="AE802" s="1956"/>
      <c r="AF802" s="1932">
        <f>IF(T802&gt;Z802,Z802,T802)</f>
        <v>10</v>
      </c>
      <c r="AG802" s="1932"/>
      <c r="AH802" s="1932"/>
      <c r="AI802" s="1932"/>
      <c r="AJ802" s="1932"/>
      <c r="AK802" s="193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43" t="s">
        <v>1737</v>
      </c>
      <c r="C803" s="1943"/>
      <c r="D803" s="1943"/>
      <c r="E803" s="1943"/>
      <c r="F803" s="1943"/>
      <c r="G803" s="1943"/>
      <c r="H803" s="1943"/>
      <c r="I803" s="1943"/>
      <c r="J803" s="1943"/>
      <c r="K803" s="1943"/>
      <c r="L803" s="1943"/>
      <c r="M803" s="1943"/>
      <c r="N803" s="1943"/>
      <c r="O803" s="1943"/>
      <c r="P803" s="1943"/>
      <c r="Q803" s="1943"/>
      <c r="R803" s="1943"/>
      <c r="S803" s="1944"/>
      <c r="T803" s="1945">
        <f>AK548</f>
        <v>12</v>
      </c>
      <c r="U803" s="1945"/>
      <c r="V803" s="1945"/>
      <c r="W803" s="1945"/>
      <c r="X803" s="1945"/>
      <c r="Y803" s="1945"/>
      <c r="Z803" s="1954">
        <v>12</v>
      </c>
      <c r="AA803" s="1955"/>
      <c r="AB803" s="1955"/>
      <c r="AC803" s="1955"/>
      <c r="AD803" s="1955"/>
      <c r="AE803" s="1956"/>
      <c r="AF803" s="1932">
        <f>IF(T803&gt;Z803,Z803,T803)</f>
        <v>12</v>
      </c>
      <c r="AG803" s="1932"/>
      <c r="AH803" s="1932"/>
      <c r="AI803" s="1932"/>
      <c r="AJ803" s="1932"/>
      <c r="AK803" s="193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43" t="s">
        <v>1759</v>
      </c>
      <c r="C804" s="1943"/>
      <c r="D804" s="1943"/>
      <c r="E804" s="1943"/>
      <c r="F804" s="1943"/>
      <c r="G804" s="1943"/>
      <c r="H804" s="1943"/>
      <c r="I804" s="1943"/>
      <c r="J804" s="1943"/>
      <c r="K804" s="1943"/>
      <c r="L804" s="1943"/>
      <c r="M804" s="1943"/>
      <c r="N804" s="1943"/>
      <c r="O804" s="1943"/>
      <c r="P804" s="1943"/>
      <c r="Q804" s="1943"/>
      <c r="R804" s="1943"/>
      <c r="S804" s="1944"/>
      <c r="T804" s="1945">
        <f>AK779</f>
        <v>10</v>
      </c>
      <c r="U804" s="1945"/>
      <c r="V804" s="1945"/>
      <c r="W804" s="1945"/>
      <c r="X804" s="1945"/>
      <c r="Y804" s="1945"/>
      <c r="Z804" s="1954">
        <v>10</v>
      </c>
      <c r="AA804" s="1955"/>
      <c r="AB804" s="1955"/>
      <c r="AC804" s="1955"/>
      <c r="AD804" s="1955"/>
      <c r="AE804" s="1956"/>
      <c r="AF804" s="1932">
        <f>IF(T804&gt;Z804,Z804,T804)</f>
        <v>10</v>
      </c>
      <c r="AG804" s="1932"/>
      <c r="AH804" s="1932"/>
      <c r="AI804" s="1932"/>
      <c r="AJ804" s="1932"/>
      <c r="AK804" s="193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57" t="s">
        <v>1760</v>
      </c>
      <c r="B805" s="1943"/>
      <c r="C805" s="1943"/>
      <c r="D805" s="1943"/>
      <c r="E805" s="1943"/>
      <c r="F805" s="1943"/>
      <c r="G805" s="1943"/>
      <c r="H805" s="1943"/>
      <c r="I805" s="1943"/>
      <c r="J805" s="1943"/>
      <c r="K805" s="1943"/>
      <c r="L805" s="1943"/>
      <c r="M805" s="1943"/>
      <c r="N805" s="1943"/>
      <c r="O805" s="1943"/>
      <c r="P805" s="1943"/>
      <c r="Q805" s="1943"/>
      <c r="R805" s="1943"/>
      <c r="S805" s="1944"/>
      <c r="T805" s="1958"/>
      <c r="U805" s="1958"/>
      <c r="V805" s="1958"/>
      <c r="W805" s="1958"/>
      <c r="X805" s="1958"/>
      <c r="Y805" s="1958"/>
      <c r="Z805" s="1952" t="s">
        <v>1761</v>
      </c>
      <c r="AA805" s="1952"/>
      <c r="AB805" s="1952"/>
      <c r="AC805" s="1952"/>
      <c r="AD805" s="1952"/>
      <c r="AE805" s="1952"/>
      <c r="AF805" s="1954">
        <f>IF(T805&gt;0,T805,0)</f>
        <v>0</v>
      </c>
      <c r="AG805" s="1955"/>
      <c r="AH805" s="1955"/>
      <c r="AI805" s="1955"/>
      <c r="AJ805" s="1955"/>
      <c r="AK805" s="195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59" t="s">
        <v>1762</v>
      </c>
      <c r="B806" s="1960"/>
      <c r="C806" s="1960"/>
      <c r="D806" s="1960"/>
      <c r="E806" s="1960"/>
      <c r="F806" s="1960"/>
      <c r="G806" s="1960"/>
      <c r="H806" s="1960"/>
      <c r="I806" s="1960"/>
      <c r="J806" s="1960"/>
      <c r="K806" s="1960"/>
      <c r="L806" s="1960"/>
      <c r="M806" s="1960"/>
      <c r="N806" s="1960"/>
      <c r="O806" s="1960"/>
      <c r="P806" s="1960"/>
      <c r="Q806" s="1960"/>
      <c r="R806" s="1960"/>
      <c r="S806" s="1960"/>
      <c r="T806" s="1960"/>
      <c r="U806" s="1960"/>
      <c r="V806" s="1960"/>
      <c r="W806" s="1960"/>
      <c r="X806" s="1960"/>
      <c r="Y806" s="1960"/>
      <c r="Z806" s="1960"/>
      <c r="AA806" s="1960"/>
      <c r="AB806" s="1960"/>
      <c r="AC806" s="1960"/>
      <c r="AD806" s="1960"/>
      <c r="AE806" s="1961"/>
      <c r="AF806" s="1965">
        <f>SUM(AF789:AK804)-AF805</f>
        <v>120</v>
      </c>
      <c r="AG806" s="1966"/>
      <c r="AH806" s="1966"/>
      <c r="AI806" s="1966"/>
      <c r="AJ806" s="1966"/>
      <c r="AK806" s="196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62"/>
      <c r="B807" s="1963"/>
      <c r="C807" s="1963"/>
      <c r="D807" s="1963"/>
      <c r="E807" s="1963"/>
      <c r="F807" s="1963"/>
      <c r="G807" s="1963"/>
      <c r="H807" s="1963"/>
      <c r="I807" s="1963"/>
      <c r="J807" s="1963"/>
      <c r="K807" s="1963"/>
      <c r="L807" s="1963"/>
      <c r="M807" s="1963"/>
      <c r="N807" s="1963"/>
      <c r="O807" s="1963"/>
      <c r="P807" s="1963"/>
      <c r="Q807" s="1963"/>
      <c r="R807" s="1963"/>
      <c r="S807" s="1963"/>
      <c r="T807" s="1963"/>
      <c r="U807" s="1963"/>
      <c r="V807" s="1963"/>
      <c r="W807" s="1963"/>
      <c r="X807" s="1963"/>
      <c r="Y807" s="1963"/>
      <c r="Z807" s="1963"/>
      <c r="AA807" s="1963"/>
      <c r="AB807" s="1963"/>
      <c r="AC807" s="1963"/>
      <c r="AD807" s="1963"/>
      <c r="AE807" s="1964"/>
      <c r="AF807" s="1968"/>
      <c r="AG807" s="1969"/>
      <c r="AH807" s="1969"/>
      <c r="AI807" s="1969"/>
      <c r="AJ807" s="1969"/>
      <c r="AK807" s="197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L6" sqref="L6"/>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41" t="s">
        <v>1763</v>
      </c>
      <c r="B1" s="2141"/>
      <c r="C1" s="2141"/>
      <c r="D1" s="2141"/>
      <c r="E1" s="2141"/>
      <c r="F1" s="2141"/>
      <c r="G1" s="2141"/>
      <c r="H1" s="2141"/>
      <c r="I1" s="2141"/>
      <c r="J1" s="2141"/>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16141290</v>
      </c>
      <c r="I3" s="1154"/>
    </row>
    <row r="4" spans="1:13" s="1095" customFormat="1" ht="20.100000000000001" customHeight="1">
      <c r="B4" s="1143"/>
      <c r="D4" s="1157"/>
      <c r="F4" s="1141" t="s">
        <v>2386</v>
      </c>
      <c r="G4" s="1140" t="s">
        <v>2385</v>
      </c>
      <c r="H4" s="1142">
        <f>I16</f>
        <v>25329209.80882353</v>
      </c>
      <c r="I4" s="1144"/>
      <c r="K4" s="1099"/>
    </row>
    <row r="5" spans="1:13" s="1095" customFormat="1" ht="20.100000000000001" customHeight="1" thickBot="1">
      <c r="B5" s="1145"/>
      <c r="C5" s="1146"/>
      <c r="D5" s="1158"/>
      <c r="E5" s="1147"/>
      <c r="F5" s="1158" t="s">
        <v>2326</v>
      </c>
      <c r="G5" s="1159"/>
      <c r="H5" s="1155">
        <f>H3/H4</f>
        <v>0.63725991145515792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2" t="s">
        <v>2324</v>
      </c>
      <c r="C8" s="2143"/>
      <c r="D8" s="2143"/>
      <c r="E8" s="2144"/>
      <c r="G8" s="2145" t="s">
        <v>2325</v>
      </c>
      <c r="H8" s="2146"/>
      <c r="I8" s="2147"/>
      <c r="K8" s="1101"/>
    </row>
    <row r="9" spans="1:13" ht="15" customHeight="1">
      <c r="A9" s="1090"/>
      <c r="B9" s="2136" t="s">
        <v>2363</v>
      </c>
      <c r="C9" s="2136"/>
      <c r="D9" s="2136"/>
      <c r="E9" s="1103">
        <f>G31</f>
        <v>4312500</v>
      </c>
      <c r="G9" s="2139" t="s">
        <v>2361</v>
      </c>
      <c r="H9" s="2139"/>
      <c r="I9" s="1104">
        <f>Application!AM550</f>
        <v>20000000</v>
      </c>
      <c r="K9" s="1105"/>
      <c r="M9" s="1106"/>
    </row>
    <row r="10" spans="1:13" ht="15" customHeight="1" thickBot="1">
      <c r="A10" s="1090"/>
      <c r="B10" s="2136" t="s">
        <v>2364</v>
      </c>
      <c r="C10" s="2136"/>
      <c r="D10" s="2136"/>
      <c r="E10" s="1104">
        <f>G40</f>
        <v>5517540</v>
      </c>
      <c r="G10" s="2139" t="s">
        <v>2327</v>
      </c>
      <c r="H10" s="2139"/>
      <c r="I10" s="1191">
        <f>'Basis &amp; Credits'!AB77</f>
        <v>9004540</v>
      </c>
      <c r="M10" s="1106"/>
    </row>
    <row r="11" spans="1:13" ht="15" customHeight="1">
      <c r="A11" s="1107"/>
      <c r="B11" s="2136" t="s">
        <v>2365</v>
      </c>
      <c r="C11" s="2136"/>
      <c r="D11" s="2136"/>
      <c r="E11" s="1104">
        <f>G49</f>
        <v>0</v>
      </c>
      <c r="G11" s="2139" t="s">
        <v>2376</v>
      </c>
      <c r="H11" s="2139"/>
      <c r="I11" s="1190">
        <f>I9+I10</f>
        <v>29004540</v>
      </c>
      <c r="M11" s="1106"/>
    </row>
    <row r="12" spans="1:13" ht="15" customHeight="1">
      <c r="A12" s="1093"/>
      <c r="B12" s="2136" t="s">
        <v>2366</v>
      </c>
      <c r="C12" s="2136"/>
      <c r="D12" s="2136"/>
      <c r="E12" s="1104">
        <f>G58</f>
        <v>360000</v>
      </c>
      <c r="G12" s="1192" t="s">
        <v>2401</v>
      </c>
      <c r="H12" s="1193"/>
      <c r="M12" s="1106"/>
    </row>
    <row r="13" spans="1:13" ht="15" customHeight="1">
      <c r="A13" s="1090"/>
      <c r="B13" s="2136" t="s">
        <v>2367</v>
      </c>
      <c r="C13" s="2136"/>
      <c r="D13" s="2136"/>
      <c r="E13" s="1109">
        <f>G83</f>
        <v>4226250</v>
      </c>
      <c r="G13" s="2140" t="s">
        <v>140</v>
      </c>
      <c r="H13" s="2140"/>
      <c r="I13" s="1108">
        <f>15%*(Application!AJ963&gt;0)</f>
        <v>0.15</v>
      </c>
      <c r="M13" s="1106"/>
    </row>
    <row r="14" spans="1:13" ht="15" customHeight="1">
      <c r="A14" s="1090"/>
      <c r="B14" s="2136" t="s">
        <v>2368</v>
      </c>
      <c r="C14" s="2136"/>
      <c r="D14" s="2136"/>
      <c r="E14" s="1104">
        <f>IF(G96&gt;G106,G96,0)</f>
        <v>1725000</v>
      </c>
      <c r="G14" s="1188" t="s">
        <v>2377</v>
      </c>
      <c r="H14" s="1188"/>
      <c r="I14" s="1108">
        <f>IF(Application!AJ997&gt;0,10%,IF(Application!AJ1001&gt;0,5%,0))</f>
        <v>0</v>
      </c>
      <c r="M14" s="1106"/>
    </row>
    <row r="15" spans="1:13" ht="15" customHeight="1" thickBot="1">
      <c r="A15" s="1090"/>
      <c r="B15" s="2137" t="s">
        <v>2387</v>
      </c>
      <c r="C15" s="2137"/>
      <c r="D15" s="2137"/>
      <c r="E15" s="1160">
        <f>IF(E14&gt;0,0,G106)</f>
        <v>0</v>
      </c>
      <c r="G15" s="2134" t="s">
        <v>2378</v>
      </c>
      <c r="H15" s="2135"/>
      <c r="I15" s="1162">
        <f>G114</f>
        <v>-2.3284313725490197E-2</v>
      </c>
      <c r="M15" s="1106"/>
    </row>
    <row r="16" spans="1:13" ht="15" customHeight="1">
      <c r="A16" s="1090"/>
      <c r="B16" s="2138" t="s">
        <v>2323</v>
      </c>
      <c r="C16" s="2138"/>
      <c r="D16" s="2138"/>
      <c r="E16" s="1161">
        <f>SUM(E9:E15)</f>
        <v>16141290</v>
      </c>
      <c r="G16" s="1189" t="s">
        <v>2362</v>
      </c>
      <c r="H16" s="1189"/>
      <c r="I16" s="1163">
        <f>I11-((I11*I13)+(I11*I14)+(I11*I15))</f>
        <v>25329209.80882353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69</v>
      </c>
      <c r="O18" s="1133" t="s">
        <v>592</v>
      </c>
      <c r="P18" s="1088">
        <f>MATCH(Application!T189,Application!BP656:BP713,0)</f>
        <v>4</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32" t="s">
        <v>2380</v>
      </c>
      <c r="D20" s="2132" t="s">
        <v>2381</v>
      </c>
      <c r="E20" s="2132" t="s">
        <v>2382</v>
      </c>
      <c r="F20" s="2132" t="s">
        <v>2383</v>
      </c>
      <c r="G20" s="2132" t="s">
        <v>2379</v>
      </c>
      <c r="H20" s="1117"/>
      <c r="I20" s="1116"/>
      <c r="L20" s="1088">
        <f>IFERROR(MIN(4,MATCH(Application!B714,UnitSizes,0)-1),"")</f>
        <v>1</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895</v>
      </c>
      <c r="R20" s="1110">
        <f>IF(Cdlac[[#This Row],[Quantity]]&gt;0,MAX(0,Cdlac[[#This Row],[Fair Market Rent]]-Cdlac[[#This Row],[Restricted Rent]]),"")</f>
        <v>456.40000000000003</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33"/>
      <c r="D21" s="2133"/>
      <c r="E21" s="2133"/>
      <c r="F21" s="2133"/>
      <c r="G21" s="2133"/>
      <c r="H21" s="1117"/>
      <c r="I21" s="1116"/>
      <c r="L21" s="1088">
        <f>IFERROR(MIN(4,MATCH(Application!B715,UnitSizes,0)-1),"")</f>
        <v>1</v>
      </c>
      <c r="M21" s="1110">
        <f>Application!G715</f>
        <v>2</v>
      </c>
      <c r="N21" s="1118">
        <f>Application!AC715</f>
        <v>0.4</v>
      </c>
      <c r="O21" s="1118">
        <f>IF(Cdlac[[#This Row],[Quantity]]&gt;0,IF(Cdlac[[#This Row],[Federal]],30%,IF($G$36,40%,Cdlac[[#This Row],[iAMI]])),"")</f>
        <v>0.3</v>
      </c>
      <c r="P21" s="1110" cm="1">
        <f t="array" ref="P21">IF(Cdlac[[#This Row],[Quantity]]&gt;0,INDEX(TcacRents,$P$18,Cdlac[[#This Row],[Bedrooms]]+1)*Cdlac[[#This Row],[AMI]],"")</f>
        <v>438.59999999999997</v>
      </c>
      <c r="Q21" s="1110" cm="1">
        <f t="array" ref="Q21">IF(Cdlac[[#This Row],[Quantity]]&gt;0,INDEX(HudFmrs,$P$18,Cdlac[[#This Row],[Bedrooms]]+1),"")</f>
        <v>895</v>
      </c>
      <c r="R21" s="1110">
        <f>IF(Cdlac[[#This Row],[Quantity]]&gt;0,MAX(0,Cdlac[[#This Row],[Fair Market Rent]]-Cdlac[[#This Row],[Restricted Rent]]),"")</f>
        <v>456.40000000000003</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v>
      </c>
      <c r="N22" s="1118">
        <f>Application!AC716</f>
        <v>0.4</v>
      </c>
      <c r="O22" s="1118">
        <f>IF(Cdlac[[#This Row],[Quantity]]&gt;0,IF(Cdlac[[#This Row],[Federal]],30%,IF($G$36,40%,Cdlac[[#This Row],[iAMI]])),"")</f>
        <v>0.4</v>
      </c>
      <c r="P22" s="1110" cm="1">
        <f t="array" ref="P22">IF(Cdlac[[#This Row],[Quantity]]&gt;0,INDEX(TcacRents,$P$18,Cdlac[[#This Row],[Bedrooms]]+1)*Cdlac[[#This Row],[AMI]],"")</f>
        <v>584.80000000000007</v>
      </c>
      <c r="Q22" s="1110" cm="1">
        <f t="array" ref="Q22">IF(Cdlac[[#This Row],[Quantity]]&gt;0,INDEX(HudFmrs,$P$18,Cdlac[[#This Row],[Bedrooms]]+1),"")</f>
        <v>895</v>
      </c>
      <c r="R22" s="1110">
        <f>IF(Cdlac[[#This Row],[Quantity]]&gt;0,MAX(0,Cdlac[[#This Row],[Fair Market Rent]]-Cdlac[[#This Row],[Restricted Rent]]),"")</f>
        <v>310.19999999999993</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18</v>
      </c>
      <c r="F23" s="1119">
        <f>E23</f>
        <v>18</v>
      </c>
      <c r="G23" s="1119">
        <f>D23*F23</f>
        <v>18</v>
      </c>
      <c r="L23" s="1088">
        <f>IFERROR(MIN(4,MATCH(Application!B717,UnitSizes,0)-1),"")</f>
        <v>1</v>
      </c>
      <c r="M23" s="1110">
        <f>Application!G717</f>
        <v>5</v>
      </c>
      <c r="N23" s="1118">
        <f>Application!AC717</f>
        <v>0.5</v>
      </c>
      <c r="O23" s="1118">
        <f>IF(Cdlac[[#This Row],[Quantity]]&gt;0,IF(Cdlac[[#This Row],[Federal]],30%,IF($G$36,40%,Cdlac[[#This Row],[iAMI]])),"")</f>
        <v>0.5</v>
      </c>
      <c r="P23" s="1110" cm="1">
        <f t="array" ref="P23">IF(Cdlac[[#This Row],[Quantity]]&gt;0,INDEX(TcacRents,$P$18,Cdlac[[#This Row],[Bedrooms]]+1)*Cdlac[[#This Row],[AMI]],"")</f>
        <v>731</v>
      </c>
      <c r="Q23" s="1110" cm="1">
        <f t="array" ref="Q23">IF(Cdlac[[#This Row],[Quantity]]&gt;0,INDEX(HudFmrs,$P$18,Cdlac[[#This Row],[Bedrooms]]+1),"")</f>
        <v>895</v>
      </c>
      <c r="R23" s="1110">
        <f>IF(Cdlac[[#This Row],[Quantity]]&gt;0,MAX(0,Cdlac[[#This Row],[Fair Market Rent]]-Cdlac[[#This Row],[Restricted Rent]]),"")</f>
        <v>164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33</v>
      </c>
      <c r="F24" s="1122">
        <f>SUM(E24:E26)-SUM(F25:F26)</f>
        <v>33</v>
      </c>
      <c r="G24" s="1119">
        <f>D24*F24</f>
        <v>41.25</v>
      </c>
      <c r="H24" s="1121"/>
      <c r="I24" s="1121"/>
      <c r="L24" s="1088">
        <f>IFERROR(MIN(4,MATCH(Application!B718,UnitSizes,0)-1),"")</f>
        <v>1</v>
      </c>
      <c r="M24" s="1110">
        <f>Application!G718</f>
        <v>5</v>
      </c>
      <c r="N24" s="1118">
        <f>Application!AC718</f>
        <v>0.6</v>
      </c>
      <c r="O24" s="1118">
        <f>IF(Cdlac[[#This Row],[Quantity]]&gt;0,IF(Cdlac[[#This Row],[Federal]],30%,IF($G$36,40%,Cdlac[[#This Row],[iAMI]])),"")</f>
        <v>0.6</v>
      </c>
      <c r="P24" s="1110" cm="1">
        <f t="array" ref="P24">IF(Cdlac[[#This Row],[Quantity]]&gt;0,INDEX(TcacRents,$P$18,Cdlac[[#This Row],[Bedrooms]]+1)*Cdlac[[#This Row],[AMI]],"")</f>
        <v>877.19999999999993</v>
      </c>
      <c r="Q24" s="1110" cm="1">
        <f t="array" ref="Q24">IF(Cdlac[[#This Row],[Quantity]]&gt;0,INDEX(HudFmrs,$P$18,Cdlac[[#This Row],[Bedrooms]]+1),"")</f>
        <v>895</v>
      </c>
      <c r="R24" s="1110">
        <f>IF(Cdlac[[#This Row],[Quantity]]&gt;0,MAX(0,Cdlac[[#This Row],[Fair Market Rent]]-Cdlac[[#This Row],[Restricted Rent]]),"")</f>
        <v>17.800000000000068</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18</v>
      </c>
      <c r="F25" s="1122">
        <f>MIN(E25,ROUNDDOWN(E27*30%,0))</f>
        <v>18</v>
      </c>
      <c r="G25" s="1119">
        <f>D25*F25</f>
        <v>27</v>
      </c>
      <c r="H25" s="1121"/>
      <c r="I25" s="1121"/>
      <c r="L25" s="1088">
        <f>IFERROR(MIN(4,MATCH(Application!B719,UnitSizes,0)-1),"")</f>
        <v>2</v>
      </c>
      <c r="M25" s="1110">
        <f>Application!G719</f>
        <v>8</v>
      </c>
      <c r="N25" s="1118">
        <f>Application!AC719</f>
        <v>0.3</v>
      </c>
      <c r="O25" s="1118">
        <f>IF(Cdlac[[#This Row],[Quantity]]&gt;0,IF(Cdlac[[#This Row],[Federal]],30%,IF($G$36,40%,Cdlac[[#This Row],[iAMI]])),"")</f>
        <v>0.3</v>
      </c>
      <c r="P25" s="1110" cm="1">
        <f t="array" ref="P25">IF(Cdlac[[#This Row],[Quantity]]&gt;0,INDEX(TcacRents,$P$18,Cdlac[[#This Row],[Bedrooms]]+1)*Cdlac[[#This Row],[AMI]],"")</f>
        <v>526.19999999999993</v>
      </c>
      <c r="Q25" s="1110" cm="1">
        <f t="array" ref="Q25">IF(Cdlac[[#This Row],[Quantity]]&gt;0,INDEX(HudFmrs,$P$18,Cdlac[[#This Row],[Bedrooms]]+1),"")</f>
        <v>1177</v>
      </c>
      <c r="R25" s="1110">
        <f>IF(Cdlac[[#This Row],[Quantity]]&gt;0,MAX(0,Cdlac[[#This Row],[Fair Market Rent]]-Cdlac[[#This Row],[Restricted Rent]]),"")</f>
        <v>650.80000000000007</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v>
      </c>
      <c r="N26" s="1118">
        <f>Application!AC720</f>
        <v>0.4</v>
      </c>
      <c r="O26" s="1118">
        <f>IF(Cdlac[[#This Row],[Quantity]]&gt;0,IF(Cdlac[[#This Row],[Federal]],30%,IF($G$36,40%,Cdlac[[#This Row],[iAMI]])),"")</f>
        <v>0.3</v>
      </c>
      <c r="P26" s="1110" cm="1">
        <f t="array" ref="P26">IF(Cdlac[[#This Row],[Quantity]]&gt;0,INDEX(TcacRents,$P$18,Cdlac[[#This Row],[Bedrooms]]+1)*Cdlac[[#This Row],[AMI]],"")</f>
        <v>526.19999999999993</v>
      </c>
      <c r="Q26" s="1110" cm="1">
        <f t="array" ref="Q26">IF(Cdlac[[#This Row],[Quantity]]&gt;0,INDEX(HudFmrs,$P$18,Cdlac[[#This Row],[Bedrooms]]+1),"")</f>
        <v>1177</v>
      </c>
      <c r="R26" s="1110">
        <f>IF(Cdlac[[#This Row],[Quantity]]&gt;0,MAX(0,Cdlac[[#This Row],[Fair Market Rent]]-Cdlac[[#This Row],[Restricted Rent]]),"")</f>
        <v>650.80000000000007</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48" t="s">
        <v>1764</v>
      </c>
      <c r="D27" s="2149"/>
      <c r="E27" s="1138">
        <f>SUM(E22:E26)</f>
        <v>69</v>
      </c>
      <c r="F27" s="1138">
        <f>SUM(F22:F26)</f>
        <v>69</v>
      </c>
      <c r="G27" s="1139">
        <f>SUMPRODUCT(D22:D26,F22:F26)</f>
        <v>86.25</v>
      </c>
      <c r="H27" s="1121"/>
      <c r="I27" s="1121"/>
      <c r="L27" s="1088">
        <f>IFERROR(MIN(4,MATCH(Application!B721,UnitSizes,0)-1),"")</f>
        <v>2</v>
      </c>
      <c r="M27" s="1110">
        <f>Application!G721</f>
        <v>3</v>
      </c>
      <c r="N27" s="1118">
        <f>Application!AC721</f>
        <v>0.4</v>
      </c>
      <c r="O27" s="1118">
        <f>IF(Cdlac[[#This Row],[Quantity]]&gt;0,IF(Cdlac[[#This Row],[Federal]],30%,IF($G$36,40%,Cdlac[[#This Row],[iAMI]])),"")</f>
        <v>0.4</v>
      </c>
      <c r="P27" s="1110" cm="1">
        <f t="array" ref="P27">IF(Cdlac[[#This Row],[Quantity]]&gt;0,INDEX(TcacRents,$P$18,Cdlac[[#This Row],[Bedrooms]]+1)*Cdlac[[#This Row],[AMI]],"")</f>
        <v>701.6</v>
      </c>
      <c r="Q27" s="1110" cm="1">
        <f t="array" ref="Q27">IF(Cdlac[[#This Row],[Quantity]]&gt;0,INDEX(HudFmrs,$P$18,Cdlac[[#This Row],[Bedrooms]]+1),"")</f>
        <v>1177</v>
      </c>
      <c r="R27" s="1110">
        <f>IF(Cdlac[[#This Row],[Quantity]]&gt;0,MAX(0,Cdlac[[#This Row],[Fair Market Rent]]-Cdlac[[#This Row],[Restricted Rent]]),"")</f>
        <v>475.4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9</v>
      </c>
      <c r="N28" s="1118">
        <f>Application!AC722</f>
        <v>0.5</v>
      </c>
      <c r="O28" s="1118">
        <f>IF(Cdlac[[#This Row],[Quantity]]&gt;0,IF(Cdlac[[#This Row],[Federal]],30%,IF($G$36,40%,Cdlac[[#This Row],[iAMI]])),"")</f>
        <v>0.5</v>
      </c>
      <c r="P28" s="1110" cm="1">
        <f t="array" ref="P28">IF(Cdlac[[#This Row],[Quantity]]&gt;0,INDEX(TcacRents,$P$18,Cdlac[[#This Row],[Bedrooms]]+1)*Cdlac[[#This Row],[AMI]],"")</f>
        <v>877</v>
      </c>
      <c r="Q28" s="1110" cm="1">
        <f t="array" ref="Q28">IF(Cdlac[[#This Row],[Quantity]]&gt;0,INDEX(HudFmrs,$P$18,Cdlac[[#This Row],[Bedrooms]]+1),"")</f>
        <v>1177</v>
      </c>
      <c r="R28" s="1110">
        <f>IF(Cdlac[[#This Row],[Quantity]]&gt;0,MAX(0,Cdlac[[#This Row],[Fair Market Rent]]-Cdlac[[#This Row],[Restricted Rent]]),"")</f>
        <v>300</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86.25</v>
      </c>
      <c r="H29" s="1121"/>
      <c r="I29" s="1121"/>
      <c r="L29" s="1088">
        <f>IFERROR(MIN(4,MATCH(Application!B723,UnitSizes,0)-1),"")</f>
        <v>2</v>
      </c>
      <c r="M29" s="1110">
        <f>Application!G723</f>
        <v>10</v>
      </c>
      <c r="N29" s="1118">
        <f>Application!AC723</f>
        <v>0.6</v>
      </c>
      <c r="O29" s="1118">
        <f>IF(Cdlac[[#This Row],[Quantity]]&gt;0,IF(Cdlac[[#This Row],[Federal]],30%,IF($G$36,40%,Cdlac[[#This Row],[iAMI]])),"")</f>
        <v>0.6</v>
      </c>
      <c r="P29" s="1110" cm="1">
        <f t="array" ref="P29">IF(Cdlac[[#This Row],[Quantity]]&gt;0,INDEX(TcacRents,$P$18,Cdlac[[#This Row],[Bedrooms]]+1)*Cdlac[[#This Row],[AMI]],"")</f>
        <v>1052.3999999999999</v>
      </c>
      <c r="Q29" s="1110" cm="1">
        <f t="array" ref="Q29">IF(Cdlac[[#This Row],[Quantity]]&gt;0,INDEX(HudFmrs,$P$18,Cdlac[[#This Row],[Bedrooms]]+1),"")</f>
        <v>1177</v>
      </c>
      <c r="R29" s="1110">
        <f>IF(Cdlac[[#This Row],[Quantity]]&gt;0,MAX(0,Cdlac[[#This Row],[Fair Market Rent]]-Cdlac[[#This Row],[Restricted Rent]]),"")</f>
        <v>124.60000000000014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3</v>
      </c>
      <c r="M30" s="1110">
        <f>Application!G724</f>
        <v>5</v>
      </c>
      <c r="N30" s="1118">
        <f>Application!AC724</f>
        <v>0.3</v>
      </c>
      <c r="O30" s="1118">
        <f>IF(Cdlac[[#This Row],[Quantity]]&gt;0,IF(Cdlac[[#This Row],[Federal]],30%,IF($G$36,40%,Cdlac[[#This Row],[iAMI]])),"")</f>
        <v>0.3</v>
      </c>
      <c r="P30" s="1110" cm="1">
        <f t="array" ref="P30">IF(Cdlac[[#This Row],[Quantity]]&gt;0,INDEX(TcacRents,$P$18,Cdlac[[#This Row],[Bedrooms]]+1)*Cdlac[[#This Row],[AMI]],"")</f>
        <v>607.79999999999995</v>
      </c>
      <c r="Q30" s="1110" cm="1">
        <f t="array" ref="Q30">IF(Cdlac[[#This Row],[Quantity]]&gt;0,INDEX(HudFmrs,$P$18,Cdlac[[#This Row],[Bedrooms]]+1),"")</f>
        <v>1662</v>
      </c>
      <c r="R30" s="1110">
        <f>IF(Cdlac[[#This Row],[Quantity]]&gt;0,MAX(0,Cdlac[[#This Row],[Fair Market Rent]]-Cdlac[[#This Row],[Restricted Rent]]),"")</f>
        <v>1054.2</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2372</v>
      </c>
      <c r="F31" s="1090"/>
      <c r="G31" s="1170">
        <f>G30*G29</f>
        <v>4312500</v>
      </c>
      <c r="H31" s="1121"/>
      <c r="I31" s="1121"/>
      <c r="L31" s="1088">
        <f>IFERROR(MIN(4,MATCH(Application!B725,UnitSizes,0)-1),"")</f>
        <v>3</v>
      </c>
      <c r="M31" s="1110">
        <f>Application!G725</f>
        <v>2</v>
      </c>
      <c r="N31" s="1118">
        <f>Application!AC725</f>
        <v>0.4</v>
      </c>
      <c r="O31" s="1118">
        <f>IF(Cdlac[[#This Row],[Quantity]]&gt;0,IF(Cdlac[[#This Row],[Federal]],30%,IF($G$36,40%,Cdlac[[#This Row],[iAMI]])),"")</f>
        <v>0.3</v>
      </c>
      <c r="P31" s="1110" cm="1">
        <f t="array" ref="P31">IF(Cdlac[[#This Row],[Quantity]]&gt;0,INDEX(TcacRents,$P$18,Cdlac[[#This Row],[Bedrooms]]+1)*Cdlac[[#This Row],[AMI]],"")</f>
        <v>607.79999999999995</v>
      </c>
      <c r="Q31" s="1110" cm="1">
        <f t="array" ref="Q31">IF(Cdlac[[#This Row],[Quantity]]&gt;0,INDEX(HudFmrs,$P$18,Cdlac[[#This Row],[Bedrooms]]+1),"")</f>
        <v>1662</v>
      </c>
      <c r="R31" s="1110">
        <f>IF(Cdlac[[#This Row],[Quantity]]&gt;0,MAX(0,Cdlac[[#This Row],[Fair Market Rent]]-Cdlac[[#This Row],[Restricted Rent]]),"")</f>
        <v>1054.2</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0.4</v>
      </c>
      <c r="O32" s="1118">
        <f>IF(Cdlac[[#This Row],[Quantity]]&gt;0,IF(Cdlac[[#This Row],[Federal]],30%,IF($G$36,40%,Cdlac[[#This Row],[iAMI]])),"")</f>
        <v>0.4</v>
      </c>
      <c r="P32" s="1110" cm="1">
        <f t="array" ref="P32">IF(Cdlac[[#This Row],[Quantity]]&gt;0,INDEX(TcacRents,$P$18,Cdlac[[#This Row],[Bedrooms]]+1)*Cdlac[[#This Row],[AMI]],"")</f>
        <v>810.40000000000009</v>
      </c>
      <c r="Q32" s="1110" cm="1">
        <f t="array" ref="Q32">IF(Cdlac[[#This Row],[Quantity]]&gt;0,INDEX(HudFmrs,$P$18,Cdlac[[#This Row],[Bedrooms]]+1),"")</f>
        <v>1662</v>
      </c>
      <c r="R32" s="1110">
        <f>IF(Cdlac[[#This Row],[Quantity]]&gt;0,MAX(0,Cdlac[[#This Row],[Fair Market Rent]]-Cdlac[[#This Row],[Restricted Rent]]),"")</f>
        <v>851.59999999999991</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5</v>
      </c>
      <c r="N33" s="1118">
        <f>Application!AC727</f>
        <v>0.5</v>
      </c>
      <c r="O33" s="1118">
        <f>IF(Cdlac[[#This Row],[Quantity]]&gt;0,IF(Cdlac[[#This Row],[Federal]],30%,IF($G$36,40%,Cdlac[[#This Row],[iAMI]])),"")</f>
        <v>0.5</v>
      </c>
      <c r="P33" s="1110" cm="1">
        <f t="array" ref="P33">IF(Cdlac[[#This Row],[Quantity]]&gt;0,INDEX(TcacRents,$P$18,Cdlac[[#This Row],[Bedrooms]]+1)*Cdlac[[#This Row],[AMI]],"")</f>
        <v>1013</v>
      </c>
      <c r="Q33" s="1110" cm="1">
        <f t="array" ref="Q33">IF(Cdlac[[#This Row],[Quantity]]&gt;0,INDEX(HudFmrs,$P$18,Cdlac[[#This Row],[Bedrooms]]+1),"")</f>
        <v>1662</v>
      </c>
      <c r="R33" s="1110">
        <f>IF(Cdlac[[#This Row],[Quantity]]&gt;0,MAX(0,Cdlac[[#This Row],[Fair Market Rent]]-Cdlac[[#This Row],[Restricted Rent]]),"")</f>
        <v>649</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5</v>
      </c>
      <c r="N34" s="1118">
        <f>Application!AC728</f>
        <v>0.6</v>
      </c>
      <c r="O34" s="1118">
        <f>IF(Cdlac[[#This Row],[Quantity]]&gt;0,IF(Cdlac[[#This Row],[Federal]],30%,IF($G$36,40%,Cdlac[[#This Row],[iAMI]])),"")</f>
        <v>0.6</v>
      </c>
      <c r="P34" s="1110" cm="1">
        <f t="array" ref="P34">IF(Cdlac[[#This Row],[Quantity]]&gt;0,INDEX(TcacRents,$P$18,Cdlac[[#This Row],[Bedrooms]]+1)*Cdlac[[#This Row],[AMI]],"")</f>
        <v>1215.5999999999999</v>
      </c>
      <c r="Q34" s="1110" cm="1">
        <f t="array" ref="Q34">IF(Cdlac[[#This Row],[Quantity]]&gt;0,INDEX(HudFmrs,$P$18,Cdlac[[#This Row],[Bedrooms]]+1),"")</f>
        <v>1662</v>
      </c>
      <c r="R34" s="1110">
        <f>IF(Cdlac[[#This Row],[Quantity]]&gt;0,MAX(0,Cdlac[[#This Row],[Fair Market Rent]]-Cdlac[[#This Row],[Restricted Rent]]),"")</f>
        <v>446.40000000000009</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0.53409090909090906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30653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5517540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34</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18</v>
      </c>
    </row>
    <row r="54" spans="2:14" ht="15" customHeight="1">
      <c r="E54" s="1168" t="s">
        <v>2390</v>
      </c>
      <c r="G54" s="1126">
        <f>ROUNDDOWN(E27*50%,0)</f>
        <v>34</v>
      </c>
    </row>
    <row r="55" spans="2:14" ht="15" customHeight="1">
      <c r="E55" s="1168"/>
      <c r="G55" s="1126"/>
    </row>
    <row r="56" spans="2:14" ht="15" customHeight="1">
      <c r="E56" s="1168" t="s">
        <v>2341</v>
      </c>
      <c r="G56" s="1165">
        <f>MIN(G53:G54)</f>
        <v>18</v>
      </c>
    </row>
    <row r="57" spans="2:14" ht="15" customHeight="1">
      <c r="E57" s="1168" t="s">
        <v>2331</v>
      </c>
      <c r="F57" s="1164" t="s">
        <v>2388</v>
      </c>
      <c r="G57" s="1175">
        <v>20000</v>
      </c>
    </row>
    <row r="58" spans="2:14" ht="15" customHeight="1">
      <c r="E58" s="1169" t="s">
        <v>2370</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4</v>
      </c>
      <c r="L62" s="1178" t="str">
        <f>'Points System'!H627</f>
        <v>N/A</v>
      </c>
      <c r="M62" s="2150" t="s">
        <v>1578</v>
      </c>
      <c r="N62" s="2151"/>
    </row>
    <row r="63" spans="2:14" ht="15" customHeight="1">
      <c r="E63" s="1133" t="s">
        <v>2331</v>
      </c>
      <c r="F63" s="1164" t="s">
        <v>2388</v>
      </c>
      <c r="G63" s="1123">
        <v>4000</v>
      </c>
      <c r="L63" s="1179" t="str">
        <f>'Points System'!H639</f>
        <v>N/A</v>
      </c>
      <c r="M63" s="2152" t="s">
        <v>2345</v>
      </c>
      <c r="N63" s="2153"/>
    </row>
    <row r="64" spans="2:14" ht="15" customHeight="1">
      <c r="E64" s="1133" t="s">
        <v>2392</v>
      </c>
      <c r="F64" s="1164" t="s">
        <v>2388</v>
      </c>
      <c r="G64" s="1177">
        <f>G27</f>
        <v>86.25</v>
      </c>
      <c r="L64" s="1179" t="str">
        <f>'Points System'!H674</f>
        <v>(i)</v>
      </c>
      <c r="M64" s="2152" t="s">
        <v>2346</v>
      </c>
      <c r="N64" s="2153"/>
    </row>
    <row r="65" spans="2:14" ht="15" customHeight="1">
      <c r="E65" s="1169" t="s">
        <v>2350</v>
      </c>
      <c r="F65" s="1090"/>
      <c r="G65" s="1174">
        <f>G62*G63*G64</f>
        <v>1380000</v>
      </c>
      <c r="L65" s="1179" t="str">
        <f>'Points System'!H694</f>
        <v>N/A</v>
      </c>
      <c r="M65" s="2152" t="s">
        <v>2347</v>
      </c>
      <c r="N65" s="2153"/>
    </row>
    <row r="66" spans="2:14" ht="15" customHeight="1">
      <c r="C66" s="1124"/>
      <c r="G66" s="1165"/>
      <c r="L66" s="1180" t="str">
        <f>'Points System'!H708</f>
        <v>N/A</v>
      </c>
      <c r="M66" s="2152" t="s">
        <v>1604</v>
      </c>
      <c r="N66" s="2153"/>
    </row>
    <row r="67" spans="2:14" ht="15" customHeight="1">
      <c r="E67" s="1133" t="s">
        <v>2393</v>
      </c>
      <c r="G67" s="1177">
        <f>COUNTIFS(L62:L69,"(i)")</f>
        <v>2</v>
      </c>
      <c r="L67" s="1179" t="str">
        <f>'Points System'!H720</f>
        <v>N/A</v>
      </c>
      <c r="M67" s="2152" t="s">
        <v>2348</v>
      </c>
      <c r="N67" s="2153"/>
    </row>
    <row r="68" spans="2:14" ht="15" customHeight="1">
      <c r="E68" s="1133" t="s">
        <v>2331</v>
      </c>
      <c r="F68" s="1164" t="s">
        <v>2388</v>
      </c>
      <c r="G68" s="1175">
        <v>4000</v>
      </c>
      <c r="L68" s="1179" t="str">
        <f>'Points System'!H736</f>
        <v>N/A</v>
      </c>
      <c r="M68" s="2152" t="s">
        <v>2349</v>
      </c>
      <c r="N68" s="2153"/>
    </row>
    <row r="69" spans="2:14" ht="15" customHeight="1" thickBot="1">
      <c r="E69" s="1169" t="s">
        <v>2351</v>
      </c>
      <c r="F69" s="1090"/>
      <c r="G69" s="1174">
        <f>G64*G67*G68</f>
        <v>690000</v>
      </c>
      <c r="L69" s="1181" t="str">
        <f>'Points System'!H748</f>
        <v>(i)</v>
      </c>
      <c r="M69" s="2158" t="s">
        <v>1607</v>
      </c>
      <c r="N69" s="2159"/>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2612</v>
      </c>
      <c r="G74" s="1087" t="s">
        <v>555</v>
      </c>
    </row>
    <row r="75" spans="2:14" ht="15" customHeight="1">
      <c r="C75" s="1124" t="s">
        <v>2613</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86.25</v>
      </c>
    </row>
    <row r="80" spans="2:14" ht="15" customHeight="1">
      <c r="E80" s="1133" t="s">
        <v>2331</v>
      </c>
      <c r="F80" s="1164" t="s">
        <v>2388</v>
      </c>
      <c r="G80" s="1175">
        <v>25000</v>
      </c>
    </row>
    <row r="81" spans="2:14" ht="15" customHeight="1">
      <c r="E81" s="1169" t="s">
        <v>2352</v>
      </c>
      <c r="F81" s="1090"/>
      <c r="G81" s="1174">
        <f>G77*G80*G64</f>
        <v>2156250</v>
      </c>
    </row>
    <row r="82" spans="2:14" ht="15" customHeight="1">
      <c r="C82" s="1124"/>
      <c r="E82" s="1124"/>
    </row>
    <row r="83" spans="2:14" ht="15" customHeight="1">
      <c r="E83" s="1169" t="s">
        <v>2329</v>
      </c>
      <c r="G83" s="1174">
        <f>G81+G69+G65</f>
        <v>4226250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60" t="s">
        <v>2358</v>
      </c>
      <c r="M87" s="2161"/>
      <c r="N87" s="1182">
        <v>30000</v>
      </c>
    </row>
    <row r="88" spans="2:14" ht="15" customHeight="1">
      <c r="C88" s="1124" t="s">
        <v>2375</v>
      </c>
      <c r="G88" s="1128" t="str">
        <f>IF(Application!D210="Large Family","Yes","No")</f>
        <v>Yes</v>
      </c>
      <c r="L88" s="2154" t="s">
        <v>2322</v>
      </c>
      <c r="M88" s="2155"/>
      <c r="N88" s="1183">
        <v>20000</v>
      </c>
    </row>
    <row r="89" spans="2:14" ht="15" customHeight="1" thickBot="1">
      <c r="C89" s="1124" t="s">
        <v>2356</v>
      </c>
      <c r="G89" s="1087" t="s">
        <v>679</v>
      </c>
      <c r="L89" s="2156" t="s">
        <v>2359</v>
      </c>
      <c r="M89" s="2157"/>
      <c r="N89" s="1184">
        <v>10000</v>
      </c>
    </row>
    <row r="90" spans="2:14" ht="15" customHeight="1">
      <c r="C90" s="1124" t="s">
        <v>2357</v>
      </c>
      <c r="G90" s="1088" t="str">
        <f>Application!T193</f>
        <v>High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20000</v>
      </c>
    </row>
    <row r="95" spans="2:14" ht="15" customHeight="1">
      <c r="E95" s="1133" t="str">
        <f>E64</f>
        <v>Bedroom-Adjusted Low-Income Units</v>
      </c>
      <c r="F95" s="1164" t="s">
        <v>2388</v>
      </c>
      <c r="G95" s="1165">
        <f>G27</f>
        <v>86.25</v>
      </c>
    </row>
    <row r="96" spans="2:14" ht="15" customHeight="1">
      <c r="D96" s="1090"/>
      <c r="E96" s="1169" t="s">
        <v>2330</v>
      </c>
      <c r="F96" s="1090"/>
      <c r="G96" s="1174">
        <f>G95*G94*G92</f>
        <v>1725000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679</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86.25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Butte</v>
      </c>
    </row>
    <row r="111" spans="2:9" ht="15" customHeight="1">
      <c r="E111" s="1133"/>
      <c r="G111" s="1125"/>
    </row>
    <row r="112" spans="2:9" ht="15" customHeight="1">
      <c r="E112" s="1133" t="str">
        <f>"2-Bedroom "&amp;G110&amp;" County Basis Limit"</f>
        <v>2-Bedroom Butte County Basis Limit</v>
      </c>
      <c r="G112" s="1125">
        <f>Application!R957</f>
        <v>444000</v>
      </c>
    </row>
    <row r="113" spans="4:9" ht="15" customHeight="1">
      <c r="E113" s="1133" t="s">
        <v>2396</v>
      </c>
      <c r="G113" s="1125">
        <f>MEDIAN((Application!BR795:BR852))</f>
        <v>489600</v>
      </c>
    </row>
    <row r="114" spans="4:9" ht="15" customHeight="1">
      <c r="D114" s="1090"/>
      <c r="E114" s="1169" t="s">
        <v>2398</v>
      </c>
      <c r="F114" s="1185"/>
      <c r="G114" s="1186">
        <f>((G112-G113)/G113)*0.25</f>
        <v>-2.3284313725490197E-2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2023-05-18T21:36:57Z</cp:lastPrinted>
  <dcterms:created xsi:type="dcterms:W3CDTF">2007-12-27T18:26:28Z</dcterms:created>
  <dcterms:modified xsi:type="dcterms:W3CDTF">2023-05-18T23:21:51Z</dcterms:modified>
</cp:coreProperties>
</file>