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T:\CLIENTS\R\RAV200 Ravello Holdings, Inc\Apps\Maison's Sierra\Bond Application\"/>
    </mc:Choice>
  </mc:AlternateContent>
  <xr:revisionPtr revIDLastSave="0" documentId="13_ncr:1_{7FAE6D11-5624-4BCA-B067-ACB686C13389}" xr6:coauthVersionLast="47" xr6:coauthVersionMax="47" xr10:uidLastSave="{00000000-0000-0000-0000-000000000000}"/>
  <bookViews>
    <workbookView xWindow="28680" yWindow="-120" windowWidth="29040" windowHeight="164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Forma'!$A$1:$AG$77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Forma'!$A$1:$AG$77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62" i="7" l="1"/>
  <c r="W62" i="7"/>
  <c r="Y62" i="7"/>
  <c r="U62" i="7"/>
  <c r="BK53" i="7"/>
  <c r="BK54" i="7"/>
  <c r="I53" i="7"/>
  <c r="K53" i="7"/>
  <c r="M53" i="7" s="1"/>
  <c r="O53" i="7" s="1"/>
  <c r="Q53" i="7" s="1"/>
  <c r="S53" i="7" s="1"/>
  <c r="U53" i="7" s="1"/>
  <c r="W53" i="7" s="1"/>
  <c r="Y53" i="7" s="1"/>
  <c r="AA53" i="7" s="1"/>
  <c r="AC53" i="7" s="1"/>
  <c r="AE53" i="7" s="1"/>
  <c r="AG53" i="7" s="1"/>
  <c r="AI53" i="7" s="1"/>
  <c r="AK53" i="7" s="1"/>
  <c r="AM53" i="7" s="1"/>
  <c r="AO53" i="7" s="1"/>
  <c r="AQ53" i="7" s="1"/>
  <c r="AS53" i="7" s="1"/>
  <c r="AU53" i="7" s="1"/>
  <c r="AW53" i="7" s="1"/>
  <c r="AY53" i="7" s="1"/>
  <c r="BA53" i="7" s="1"/>
  <c r="BC53" i="7" s="1"/>
  <c r="BE53" i="7" s="1"/>
  <c r="BG53" i="7" s="1"/>
  <c r="BI53" i="7" s="1"/>
  <c r="I54" i="7"/>
  <c r="K54" i="7"/>
  <c r="M54" i="7"/>
  <c r="O54" i="7" s="1"/>
  <c r="Q54" i="7" s="1"/>
  <c r="S54" i="7" s="1"/>
  <c r="U54" i="7" s="1"/>
  <c r="W54" i="7" s="1"/>
  <c r="Y54" i="7" s="1"/>
  <c r="AA54" i="7" s="1"/>
  <c r="AC54" i="7" s="1"/>
  <c r="AE54" i="7" s="1"/>
  <c r="AG54" i="7" s="1"/>
  <c r="AI54" i="7" s="1"/>
  <c r="AK54" i="7" s="1"/>
  <c r="AM54" i="7" s="1"/>
  <c r="AO54" i="7" s="1"/>
  <c r="AQ54" i="7" s="1"/>
  <c r="AS54" i="7" s="1"/>
  <c r="AU54" i="7" s="1"/>
  <c r="AW54" i="7" s="1"/>
  <c r="AY54" i="7" s="1"/>
  <c r="BA54" i="7" s="1"/>
  <c r="BC54" i="7" s="1"/>
  <c r="BE54" i="7" s="1"/>
  <c r="BG54" i="7" s="1"/>
  <c r="BI54" i="7" s="1"/>
  <c r="G54" i="7"/>
  <c r="G53" i="7"/>
  <c r="AK42" i="7"/>
  <c r="AK41" i="7"/>
  <c r="AI41" i="7"/>
  <c r="AM41" i="7"/>
  <c r="AO41" i="7"/>
  <c r="AQ41" i="7"/>
  <c r="AS41" i="7"/>
  <c r="AU41" i="7"/>
  <c r="AW41" i="7"/>
  <c r="AY41" i="7"/>
  <c r="BA41" i="7"/>
  <c r="BC41" i="7"/>
  <c r="BE41" i="7"/>
  <c r="BG41" i="7"/>
  <c r="BI41" i="7"/>
  <c r="BK41" i="7"/>
  <c r="AI42" i="7"/>
  <c r="AM42" i="7"/>
  <c r="AO42" i="7"/>
  <c r="AQ42" i="7"/>
  <c r="AS42" i="7"/>
  <c r="AU42" i="7"/>
  <c r="AW42" i="7"/>
  <c r="AY42" i="7"/>
  <c r="BA42" i="7"/>
  <c r="BC42" i="7"/>
  <c r="BE42" i="7"/>
  <c r="BG42" i="7"/>
  <c r="BI42" i="7"/>
  <c r="BK42" i="7"/>
  <c r="Z800" i="3"/>
  <c r="Z797" i="3"/>
  <c r="AY162" i="26"/>
  <c r="AS162" i="26"/>
  <c r="AS154" i="26"/>
  <c r="AS152" i="26"/>
  <c r="AL37" i="26"/>
  <c r="AD188" i="20"/>
  <c r="S43" i="4"/>
  <c r="F43" i="4"/>
  <c r="S99" i="4"/>
  <c r="E99" i="4"/>
  <c r="H99" i="4" s="1"/>
  <c r="S93" i="4"/>
  <c r="S91" i="4"/>
  <c r="S89" i="4"/>
  <c r="S86" i="4"/>
  <c r="S85" i="4"/>
  <c r="C93" i="4"/>
  <c r="F93" i="4" s="1"/>
  <c r="F91" i="4"/>
  <c r="F89" i="4"/>
  <c r="G88" i="4"/>
  <c r="F88" i="4"/>
  <c r="C88" i="4"/>
  <c r="G86" i="4"/>
  <c r="F85" i="4"/>
  <c r="G85" i="4" s="1"/>
  <c r="F83" i="4"/>
  <c r="C83" i="4"/>
  <c r="S80" i="4"/>
  <c r="S79" i="4"/>
  <c r="F80" i="4"/>
  <c r="C75" i="4"/>
  <c r="F75" i="4" s="1"/>
  <c r="F72" i="4"/>
  <c r="S69" i="4"/>
  <c r="S68" i="4"/>
  <c r="S67" i="4"/>
  <c r="S66" i="4"/>
  <c r="S65" i="4"/>
  <c r="C69" i="4"/>
  <c r="F69" i="4" s="1"/>
  <c r="C65" i="4"/>
  <c r="F65" i="4" s="1"/>
  <c r="F61" i="4"/>
  <c r="F56" i="4"/>
  <c r="S53" i="4"/>
  <c r="S52" i="4"/>
  <c r="S50" i="4"/>
  <c r="S49" i="4"/>
  <c r="S48" i="4"/>
  <c r="S47" i="4"/>
  <c r="S46" i="4"/>
  <c r="S40" i="4"/>
  <c r="S37" i="4"/>
  <c r="S36" i="4"/>
  <c r="S35" i="4"/>
  <c r="S34" i="4"/>
  <c r="S33" i="4"/>
  <c r="S32" i="4"/>
  <c r="S31" i="4"/>
  <c r="S29" i="4"/>
  <c r="F37" i="4"/>
  <c r="F35" i="4"/>
  <c r="F33" i="4"/>
  <c r="F32" i="4"/>
  <c r="F31" i="4"/>
  <c r="E30" i="4"/>
  <c r="E29" i="4"/>
  <c r="F53" i="4"/>
  <c r="F52" i="4"/>
  <c r="F51" i="4"/>
  <c r="F50" i="4"/>
  <c r="F46" i="4"/>
  <c r="F45" i="4"/>
  <c r="F40" i="4"/>
  <c r="C6" i="4"/>
  <c r="F6" i="4" s="1"/>
  <c r="C4" i="4"/>
  <c r="F4" i="4" s="1"/>
  <c r="AF992" i="3"/>
  <c r="AA911" i="3"/>
  <c r="AA901" i="3"/>
  <c r="W855" i="3"/>
  <c r="AC816" i="3"/>
  <c r="W838" i="3"/>
  <c r="W845" i="3"/>
  <c r="W841" i="3"/>
  <c r="W846" i="3" s="1"/>
  <c r="W830" i="3"/>
  <c r="Y815" i="3"/>
  <c r="U815" i="3"/>
  <c r="Q815" i="3"/>
  <c r="T758" i="3"/>
  <c r="T725" i="3"/>
  <c r="T726" i="3" s="1"/>
  <c r="O725" i="3"/>
  <c r="X725" i="3" s="1"/>
  <c r="K725" i="3"/>
  <c r="K726" i="3" s="1"/>
  <c r="K727" i="3" s="1"/>
  <c r="O724" i="3"/>
  <c r="K721" i="3"/>
  <c r="K722" i="3" s="1"/>
  <c r="T720" i="3"/>
  <c r="O720" i="3" s="1"/>
  <c r="X720" i="3" s="1"/>
  <c r="K720" i="3"/>
  <c r="O719" i="3"/>
  <c r="T716" i="3"/>
  <c r="T717" i="3" s="1"/>
  <c r="O717" i="3" s="1"/>
  <c r="X717" i="3" s="1"/>
  <c r="O716" i="3"/>
  <c r="X716" i="3" s="1"/>
  <c r="T715" i="3"/>
  <c r="O715" i="3" s="1"/>
  <c r="X715" i="3" s="1"/>
  <c r="K715" i="3"/>
  <c r="K716" i="3" s="1"/>
  <c r="K717" i="3" s="1"/>
  <c r="O714" i="3"/>
  <c r="X714" i="3"/>
  <c r="AH714" i="3"/>
  <c r="AH715" i="3"/>
  <c r="AH716" i="3"/>
  <c r="AH717" i="3"/>
  <c r="X718" i="3"/>
  <c r="AH718" i="3"/>
  <c r="X719" i="3"/>
  <c r="AH719" i="3"/>
  <c r="AH720" i="3"/>
  <c r="AH721" i="3"/>
  <c r="AH722" i="3"/>
  <c r="X723" i="3"/>
  <c r="AH723" i="3"/>
  <c r="X724" i="3"/>
  <c r="AH724" i="3"/>
  <c r="AH725" i="3"/>
  <c r="AH726" i="3"/>
  <c r="AH727" i="3"/>
  <c r="AM554" i="3"/>
  <c r="AM553" i="3"/>
  <c r="AG447" i="3"/>
  <c r="AG445" i="3"/>
  <c r="AG442" i="3"/>
  <c r="AG441" i="3"/>
  <c r="AA296" i="3"/>
  <c r="AA295" i="3"/>
  <c r="T727" i="3" l="1"/>
  <c r="O727" i="3" s="1"/>
  <c r="X727" i="3" s="1"/>
  <c r="O726" i="3"/>
  <c r="X726" i="3" s="1"/>
  <c r="T721" i="3"/>
  <c r="T722" i="3" l="1"/>
  <c r="O722" i="3" s="1"/>
  <c r="X722" i="3" s="1"/>
  <c r="O721" i="3"/>
  <c r="X721" i="3" s="1"/>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c r="AT23" i="26" l="1"/>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A40" i="7"/>
  <c r="E33" i="7"/>
  <c r="E32" i="7"/>
  <c r="E31" i="7"/>
  <c r="E30" i="7"/>
  <c r="E29" i="7"/>
  <c r="AK29" i="7" s="1"/>
  <c r="E28" i="7"/>
  <c r="AK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AI17" i="7" s="1"/>
  <c r="E18" i="7"/>
  <c r="G18" i="7" s="1"/>
  <c r="I18" i="7" s="1"/>
  <c r="K18" i="7" s="1"/>
  <c r="M18" i="7" s="1"/>
  <c r="O18" i="7" s="1"/>
  <c r="Q18" i="7" s="1"/>
  <c r="S18" i="7" s="1"/>
  <c r="U18" i="7" s="1"/>
  <c r="W18" i="7" s="1"/>
  <c r="Y18" i="7" s="1"/>
  <c r="AA18" i="7" s="1"/>
  <c r="AC18" i="7" s="1"/>
  <c r="AE18" i="7" s="1"/>
  <c r="AG18" i="7" s="1"/>
  <c r="AI18" i="7" s="1"/>
  <c r="E19" i="7"/>
  <c r="W856" i="3"/>
  <c r="E20" i="7" s="1"/>
  <c r="G20" i="7" s="1"/>
  <c r="I20" i="7" s="1"/>
  <c r="K20" i="7" s="1"/>
  <c r="M20" i="7" s="1"/>
  <c r="O20" i="7" s="1"/>
  <c r="Q20" i="7" s="1"/>
  <c r="S20" i="7" s="1"/>
  <c r="U20" i="7" s="1"/>
  <c r="W20" i="7" s="1"/>
  <c r="Y20" i="7" s="1"/>
  <c r="AA20" i="7" s="1"/>
  <c r="AC20" i="7" s="1"/>
  <c r="AE20" i="7" s="1"/>
  <c r="AG20" i="7" s="1"/>
  <c r="AI20" i="7" s="1"/>
  <c r="W863" i="3"/>
  <c r="E21" i="7" s="1"/>
  <c r="G21" i="7" s="1"/>
  <c r="I21" i="7" s="1"/>
  <c r="K21" i="7" s="1"/>
  <c r="M21" i="7" s="1"/>
  <c r="O21" i="7" s="1"/>
  <c r="Q21" i="7" s="1"/>
  <c r="S21" i="7" s="1"/>
  <c r="U21" i="7" s="1"/>
  <c r="W21" i="7" s="1"/>
  <c r="Y21" i="7" s="1"/>
  <c r="AA21" i="7" s="1"/>
  <c r="AC21" i="7" s="1"/>
  <c r="AE21" i="7" s="1"/>
  <c r="AG21" i="7" s="1"/>
  <c r="AI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EH608" i="3" s="1"/>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E26" i="13" s="1"/>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D103" i="11" s="1"/>
  <c r="C104" i="11"/>
  <c r="B101" i="11"/>
  <c r="B102" i="11"/>
  <c r="B103" i="11"/>
  <c r="B104" i="11"/>
  <c r="C85" i="11"/>
  <c r="C86" i="11"/>
  <c r="D86" i="11" s="1"/>
  <c r="C87" i="11"/>
  <c r="D87" i="11" s="1"/>
  <c r="C88" i="11"/>
  <c r="C89" i="11"/>
  <c r="C90" i="11"/>
  <c r="C91" i="11"/>
  <c r="C92" i="11"/>
  <c r="C93" i="11"/>
  <c r="D93" i="11" s="1"/>
  <c r="C94" i="11"/>
  <c r="D94" i="11" s="1"/>
  <c r="C95" i="11"/>
  <c r="D95" i="11" s="1"/>
  <c r="C96" i="11"/>
  <c r="B85" i="11"/>
  <c r="B86" i="11"/>
  <c r="B87" i="11"/>
  <c r="B88" i="11"/>
  <c r="B89" i="11"/>
  <c r="D89" i="11" s="1"/>
  <c r="B90" i="11"/>
  <c r="D90" i="11" s="1"/>
  <c r="B91" i="11"/>
  <c r="D91" i="11" s="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B70" i="4" s="1"/>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s="1"/>
  <c r="K68" i="7" s="1"/>
  <c r="M68" i="7" s="1"/>
  <c r="O68" i="7" s="1"/>
  <c r="Q68" i="7" s="1"/>
  <c r="S68" i="7" s="1"/>
  <c r="U68" i="7" s="1"/>
  <c r="W68" i="7" s="1"/>
  <c r="Y68" i="7" s="1"/>
  <c r="AA68" i="7" s="1"/>
  <c r="AC68" i="7" s="1"/>
  <c r="AE68" i="7" s="1"/>
  <c r="AG68" i="7" s="1"/>
  <c r="AI68" i="7" s="1"/>
  <c r="G69" i="7"/>
  <c r="I69" i="7" s="1"/>
  <c r="K69" i="7" s="1"/>
  <c r="M69" i="7" s="1"/>
  <c r="O69" i="7" s="1"/>
  <c r="Q69" i="7" s="1"/>
  <c r="S69" i="7" s="1"/>
  <c r="U69" i="7" s="1"/>
  <c r="W69" i="7" s="1"/>
  <c r="Y69" i="7" s="1"/>
  <c r="AA69" i="7" s="1"/>
  <c r="AC69" i="7" s="1"/>
  <c r="AE69" i="7" s="1"/>
  <c r="AG69" i="7" s="1"/>
  <c r="AI69" i="7" s="1"/>
  <c r="G55" i="7"/>
  <c r="I55" i="7" s="1"/>
  <c r="K55" i="7" s="1"/>
  <c r="M55" i="7" s="1"/>
  <c r="O55" i="7" s="1"/>
  <c r="Q55" i="7" s="1"/>
  <c r="S55" i="7" s="1"/>
  <c r="U55" i="7" s="1"/>
  <c r="W55" i="7" s="1"/>
  <c r="Y55" i="7" s="1"/>
  <c r="AA55" i="7" s="1"/>
  <c r="AC55" i="7" s="1"/>
  <c r="AE55" i="7" s="1"/>
  <c r="AG55" i="7" s="1"/>
  <c r="AI55" i="7" s="1"/>
  <c r="G56" i="7"/>
  <c r="I56" i="7" s="1"/>
  <c r="K56" i="7" s="1"/>
  <c r="M56" i="7" s="1"/>
  <c r="O56" i="7" s="1"/>
  <c r="Q56" i="7" s="1"/>
  <c r="S56" i="7" s="1"/>
  <c r="U56" i="7" s="1"/>
  <c r="W56" i="7" s="1"/>
  <c r="Y56" i="7" s="1"/>
  <c r="AA56" i="7" s="1"/>
  <c r="AC56" i="7" s="1"/>
  <c r="AE56" i="7" s="1"/>
  <c r="AG56" i="7" s="1"/>
  <c r="AI56" i="7" s="1"/>
  <c r="G57" i="7"/>
  <c r="I57" i="7" s="1"/>
  <c r="K57" i="7" s="1"/>
  <c r="M57" i="7" s="1"/>
  <c r="O57" i="7" s="1"/>
  <c r="Q57" i="7" s="1"/>
  <c r="S57" i="7" s="1"/>
  <c r="U57" i="7" s="1"/>
  <c r="W57" i="7" s="1"/>
  <c r="Y57" i="7" s="1"/>
  <c r="AA57" i="7" s="1"/>
  <c r="AC57" i="7" s="1"/>
  <c r="AE57" i="7" s="1"/>
  <c r="AG57" i="7" s="1"/>
  <c r="AI57" i="7" s="1"/>
  <c r="A61" i="15"/>
  <c r="BA478" i="3"/>
  <c r="BA470" i="3"/>
  <c r="G24" i="7"/>
  <c r="I24" i="7" s="1"/>
  <c r="K24" i="7" s="1"/>
  <c r="M24" i="7" s="1"/>
  <c r="O24" i="7" s="1"/>
  <c r="Q24" i="7" s="1"/>
  <c r="S24" i="7" s="1"/>
  <c r="U24" i="7" s="1"/>
  <c r="W24" i="7" s="1"/>
  <c r="Y24" i="7" s="1"/>
  <c r="AA24" i="7" s="1"/>
  <c r="AC24" i="7" s="1"/>
  <c r="AE24" i="7" s="1"/>
  <c r="AG24" i="7" s="1"/>
  <c r="AI24" i="7" s="1"/>
  <c r="G31" i="7"/>
  <c r="I31" i="7" s="1"/>
  <c r="K31" i="7" s="1"/>
  <c r="M31" i="7" s="1"/>
  <c r="O31" i="7" s="1"/>
  <c r="Q31" i="7" s="1"/>
  <c r="S31" i="7" s="1"/>
  <c r="U31" i="7" s="1"/>
  <c r="W31" i="7" s="1"/>
  <c r="Y31" i="7" s="1"/>
  <c r="AA31" i="7" s="1"/>
  <c r="AC31" i="7" s="1"/>
  <c r="AE31" i="7" s="1"/>
  <c r="AG31" i="7" s="1"/>
  <c r="AI31" i="7" s="1"/>
  <c r="G30" i="7"/>
  <c r="I30" i="7" s="1"/>
  <c r="K30" i="7" s="1"/>
  <c r="M30" i="7" s="1"/>
  <c r="O30" i="7" s="1"/>
  <c r="Q30" i="7" s="1"/>
  <c r="S30" i="7" s="1"/>
  <c r="U30" i="7" s="1"/>
  <c r="W30" i="7" s="1"/>
  <c r="Y30" i="7" s="1"/>
  <c r="AA30" i="7" s="1"/>
  <c r="AC30" i="7" s="1"/>
  <c r="AE30" i="7" s="1"/>
  <c r="AG30" i="7" s="1"/>
  <c r="AI30" i="7" s="1"/>
  <c r="AG29" i="7"/>
  <c r="AA29" i="7"/>
  <c r="S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BA664" i="3"/>
  <c r="BA665" i="3"/>
  <c r="BA663" i="3"/>
  <c r="BA666"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D81" i="11" s="1"/>
  <c r="I96" i="13"/>
  <c r="J96" i="13"/>
  <c r="J81" i="13"/>
  <c r="I81" i="13"/>
  <c r="G81" i="13"/>
  <c r="F81" i="13"/>
  <c r="D81" i="13"/>
  <c r="C81" i="13"/>
  <c r="H80" i="13"/>
  <c r="E80" i="13"/>
  <c r="B80" i="13"/>
  <c r="R80" i="4"/>
  <c r="R79" i="4"/>
  <c r="S70" i="4"/>
  <c r="E70" i="13" s="1"/>
  <c r="D81" i="4"/>
  <c r="B81" i="4" s="1"/>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F105" i="13" s="1"/>
  <c r="F107" i="13" s="1"/>
  <c r="D42" i="13"/>
  <c r="C42" i="13"/>
  <c r="J38" i="13"/>
  <c r="I38" i="13"/>
  <c r="G38" i="13"/>
  <c r="D38" i="13"/>
  <c r="C38" i="13"/>
  <c r="J26" i="13"/>
  <c r="I26" i="13"/>
  <c r="I11" i="13"/>
  <c r="G26" i="13"/>
  <c r="D26" i="13"/>
  <c r="C26" i="13"/>
  <c r="J11" i="13"/>
  <c r="D11" i="13"/>
  <c r="C11" i="13"/>
  <c r="C8" i="13"/>
  <c r="D8" i="13"/>
  <c r="D63" i="13" s="1"/>
  <c r="D97" i="13" s="1"/>
  <c r="D105" i="13" s="1"/>
  <c r="T104" i="4"/>
  <c r="H104" i="13" s="1"/>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0" i="4"/>
  <c r="R37" i="4"/>
  <c r="R35" i="4"/>
  <c r="R34" i="4"/>
  <c r="R33" i="4"/>
  <c r="R32" i="4"/>
  <c r="R31" i="4"/>
  <c r="R30" i="4"/>
  <c r="S30" i="4" s="1"/>
  <c r="E30" i="13" s="1"/>
  <c r="R29" i="4"/>
  <c r="R27" i="4"/>
  <c r="R25" i="4"/>
  <c r="R23" i="4"/>
  <c r="R22" i="4"/>
  <c r="R21" i="4"/>
  <c r="R20" i="4"/>
  <c r="R19" i="4"/>
  <c r="R18" i="4"/>
  <c r="R17" i="4"/>
  <c r="R15" i="4"/>
  <c r="R14" i="4"/>
  <c r="R13" i="4"/>
  <c r="R9" i="4"/>
  <c r="R11" i="4"/>
  <c r="R7" i="4"/>
  <c r="R6" i="4"/>
  <c r="R5" i="4"/>
  <c r="R4" i="4"/>
  <c r="R8" i="4" s="1"/>
  <c r="B5" i="11"/>
  <c r="C5" i="11"/>
  <c r="D5" i="11" s="1"/>
  <c r="B6" i="11"/>
  <c r="C6" i="11"/>
  <c r="B7" i="11"/>
  <c r="C7" i="11"/>
  <c r="C8" i="11"/>
  <c r="B8" i="11"/>
  <c r="B10" i="11"/>
  <c r="B11" i="11"/>
  <c r="C10" i="11"/>
  <c r="D10" i="11" s="1"/>
  <c r="C11" i="11"/>
  <c r="D11" i="11" s="1"/>
  <c r="B14" i="11"/>
  <c r="C14" i="11"/>
  <c r="B15" i="11"/>
  <c r="C15" i="11"/>
  <c r="B16" i="11"/>
  <c r="C16" i="11"/>
  <c r="B18" i="11"/>
  <c r="C18" i="11"/>
  <c r="D18" i="11" s="1"/>
  <c r="B19" i="11"/>
  <c r="C19" i="11"/>
  <c r="B20" i="11"/>
  <c r="C20" i="11"/>
  <c r="B21" i="11"/>
  <c r="C21" i="11"/>
  <c r="B22" i="11"/>
  <c r="C22" i="11"/>
  <c r="D22" i="11" s="1"/>
  <c r="B23" i="11"/>
  <c r="C23" i="11"/>
  <c r="B24" i="11"/>
  <c r="D24" i="11" s="1"/>
  <c r="B28" i="11"/>
  <c r="C28" i="11"/>
  <c r="B30" i="11"/>
  <c r="C30" i="11"/>
  <c r="D33" i="11"/>
  <c r="D34" i="11"/>
  <c r="B41" i="11"/>
  <c r="C41" i="11"/>
  <c r="C42" i="11"/>
  <c r="B42" i="11"/>
  <c r="B44" i="11"/>
  <c r="C44" i="11"/>
  <c r="B46" i="11"/>
  <c r="D46" i="11" s="1"/>
  <c r="C46" i="11"/>
  <c r="B47" i="11"/>
  <c r="C47" i="11"/>
  <c r="B48" i="11"/>
  <c r="B49" i="11"/>
  <c r="B50" i="11"/>
  <c r="D50" i="11" s="1"/>
  <c r="B51" i="11"/>
  <c r="B52" i="11"/>
  <c r="B53" i="11"/>
  <c r="C48" i="11"/>
  <c r="C49" i="11"/>
  <c r="C50" i="11"/>
  <c r="C51" i="11"/>
  <c r="C52" i="11"/>
  <c r="C53" i="11"/>
  <c r="D53" i="11" s="1"/>
  <c r="B57" i="11"/>
  <c r="D57" i="11" s="1"/>
  <c r="C57" i="11"/>
  <c r="B58" i="11"/>
  <c r="C58" i="11"/>
  <c r="B59" i="11"/>
  <c r="C59" i="11"/>
  <c r="B60" i="11"/>
  <c r="C60" i="11"/>
  <c r="B61" i="11"/>
  <c r="D61" i="11" s="1"/>
  <c r="C61" i="11"/>
  <c r="B62" i="11"/>
  <c r="C62" i="11"/>
  <c r="B66" i="11"/>
  <c r="B71" i="11" s="1"/>
  <c r="C66" i="11"/>
  <c r="B73" i="11"/>
  <c r="C73" i="11"/>
  <c r="B74" i="11"/>
  <c r="D74" i="11" s="1"/>
  <c r="C74" i="11"/>
  <c r="B75" i="11"/>
  <c r="C75" i="11"/>
  <c r="B76" i="11"/>
  <c r="C76" i="11"/>
  <c r="B77" i="11"/>
  <c r="C77" i="11"/>
  <c r="B84" i="11"/>
  <c r="C84" i="11"/>
  <c r="B100" i="11"/>
  <c r="D100"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I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s="1"/>
  <c r="T54" i="4"/>
  <c r="H54" i="13"/>
  <c r="T70" i="4"/>
  <c r="H70" i="13"/>
  <c r="T96" i="4"/>
  <c r="H96" i="13" s="1"/>
  <c r="DX596" i="3"/>
  <c r="DX599"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11" i="3"/>
  <c r="EC613" i="3"/>
  <c r="EC614" i="3"/>
  <c r="EC615" i="3"/>
  <c r="EC617" i="3"/>
  <c r="EC620" i="3"/>
  <c r="EH596" i="3"/>
  <c r="EH597" i="3"/>
  <c r="EH598" i="3"/>
  <c r="EH599" i="3"/>
  <c r="EH601" i="3"/>
  <c r="EH603" i="3"/>
  <c r="EH604" i="3"/>
  <c r="EH605" i="3"/>
  <c r="EH606" i="3"/>
  <c r="EH607"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8" i="3"/>
  <c r="ER609" i="3"/>
  <c r="ER610" i="3"/>
  <c r="ER612" i="3"/>
  <c r="ER613" i="3"/>
  <c r="ER614" i="3"/>
  <c r="ER615" i="3"/>
  <c r="ER616" i="3"/>
  <c r="ER617" i="3"/>
  <c r="ER620" i="3"/>
  <c r="C11" i="4"/>
  <c r="C38" i="4"/>
  <c r="B38" i="13" s="1"/>
  <c r="C54" i="4"/>
  <c r="B54" i="4" s="1"/>
  <c r="C62" i="4"/>
  <c r="B62" i="13" s="1"/>
  <c r="C77" i="4"/>
  <c r="B77" i="13" s="1"/>
  <c r="C96" i="4"/>
  <c r="B96" i="13"/>
  <c r="D8" i="4"/>
  <c r="D11" i="4"/>
  <c r="D26" i="4"/>
  <c r="D38" i="4"/>
  <c r="D42" i="4"/>
  <c r="D54" i="4"/>
  <c r="D62" i="4"/>
  <c r="D77" i="4"/>
  <c r="D96" i="4"/>
  <c r="B96" i="4" s="1"/>
  <c r="D104" i="4"/>
  <c r="AO637" i="3"/>
  <c r="S38" i="4"/>
  <c r="E38" i="13"/>
  <c r="S42" i="4"/>
  <c r="E42" i="13"/>
  <c r="S54" i="4"/>
  <c r="E54" i="13" s="1"/>
  <c r="S96" i="4"/>
  <c r="E96" i="13" s="1"/>
  <c r="S104" i="4"/>
  <c r="E104" i="13" s="1"/>
  <c r="F2" i="4"/>
  <c r="G2" i="4"/>
  <c r="H2" i="4"/>
  <c r="I2" i="4"/>
  <c r="J2" i="4"/>
  <c r="K2" i="4"/>
  <c r="L2" i="4"/>
  <c r="M2" i="4"/>
  <c r="N2" i="4"/>
  <c r="O2" i="4"/>
  <c r="P2" i="4"/>
  <c r="Q2" i="4"/>
  <c r="B4" i="4"/>
  <c r="B5" i="4"/>
  <c r="B6" i="4"/>
  <c r="B7" i="4"/>
  <c r="E8" i="4"/>
  <c r="F8" i="4"/>
  <c r="G8" i="4"/>
  <c r="G12" i="4" s="1"/>
  <c r="G11" i="4"/>
  <c r="H8" i="4"/>
  <c r="H11" i="4"/>
  <c r="I8" i="4"/>
  <c r="I11" i="4"/>
  <c r="J8" i="4"/>
  <c r="J11" i="4"/>
  <c r="J26" i="4"/>
  <c r="J63" i="4" s="1"/>
  <c r="J97" i="4" s="1"/>
  <c r="J105" i="4" s="1"/>
  <c r="J38" i="4"/>
  <c r="J42" i="4"/>
  <c r="J54" i="4"/>
  <c r="J62" i="4"/>
  <c r="J70" i="4"/>
  <c r="J77" i="4"/>
  <c r="J96" i="4"/>
  <c r="J104" i="4"/>
  <c r="K8" i="4"/>
  <c r="K11" i="4"/>
  <c r="L8" i="4"/>
  <c r="L11" i="4"/>
  <c r="M8" i="4"/>
  <c r="M11" i="4"/>
  <c r="N8" i="4"/>
  <c r="O8" i="4"/>
  <c r="O63" i="4" s="1"/>
  <c r="O97" i="4" s="1"/>
  <c r="O105" i="4" s="1"/>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I63" i="4" s="1"/>
  <c r="I97" i="4" s="1"/>
  <c r="I105" i="4" s="1"/>
  <c r="K26" i="4"/>
  <c r="L26" i="4"/>
  <c r="M26" i="4"/>
  <c r="M38" i="4"/>
  <c r="M42" i="4"/>
  <c r="M54" i="4"/>
  <c r="M62" i="4"/>
  <c r="M70" i="4"/>
  <c r="M77" i="4"/>
  <c r="M96" i="4"/>
  <c r="M104" i="4"/>
  <c r="N26" i="4"/>
  <c r="N38" i="4"/>
  <c r="N42" i="4"/>
  <c r="N54" i="4"/>
  <c r="N62" i="4"/>
  <c r="N63" i="4" s="1"/>
  <c r="N70" i="4"/>
  <c r="N77" i="4"/>
  <c r="N96" i="4"/>
  <c r="N104" i="4"/>
  <c r="O26" i="4"/>
  <c r="P26" i="4"/>
  <c r="Q26" i="4"/>
  <c r="B27" i="4"/>
  <c r="B29" i="4"/>
  <c r="B30" i="4"/>
  <c r="B31" i="4"/>
  <c r="B32" i="4"/>
  <c r="B33" i="4"/>
  <c r="B34" i="4"/>
  <c r="B35" i="4"/>
  <c r="B37" i="4"/>
  <c r="E38" i="4"/>
  <c r="G38" i="4"/>
  <c r="H38" i="4"/>
  <c r="K38" i="4"/>
  <c r="L38" i="4"/>
  <c r="O38" i="4"/>
  <c r="P38" i="4"/>
  <c r="P42" i="4"/>
  <c r="P63" i="4" s="1"/>
  <c r="P97" i="4" s="1"/>
  <c r="P105" i="4" s="1"/>
  <c r="P54" i="4"/>
  <c r="P62" i="4"/>
  <c r="P70" i="4"/>
  <c r="P77" i="4"/>
  <c r="P96" i="4"/>
  <c r="P104" i="4"/>
  <c r="Q38" i="4"/>
  <c r="B40" i="4"/>
  <c r="B41" i="4"/>
  <c r="E42" i="4"/>
  <c r="G42" i="4"/>
  <c r="H42" i="4"/>
  <c r="K42" i="4"/>
  <c r="L42" i="4"/>
  <c r="O42" i="4"/>
  <c r="Q42" i="4"/>
  <c r="Q63" i="4" s="1"/>
  <c r="Q97" i="4" s="1"/>
  <c r="Q105" i="4" s="1"/>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G816" i="3"/>
  <c r="BI830" i="3"/>
  <c r="Z885" i="3"/>
  <c r="BA983" i="3"/>
  <c r="BA984" i="3"/>
  <c r="BA985" i="3"/>
  <c r="BA987" i="3"/>
  <c r="BA988" i="3"/>
  <c r="BA989" i="3"/>
  <c r="BA990" i="3"/>
  <c r="BA991" i="3"/>
  <c r="B26" i="4"/>
  <c r="B77" i="4"/>
  <c r="D49" i="11"/>
  <c r="I63" i="13"/>
  <c r="I97" i="13"/>
  <c r="I105" i="13"/>
  <c r="I107" i="13"/>
  <c r="B81" i="13"/>
  <c r="D54" i="11"/>
  <c r="J63" i="13"/>
  <c r="J97" i="13"/>
  <c r="J105" i="13"/>
  <c r="J107" i="13"/>
  <c r="L12" i="4"/>
  <c r="D48" i="11"/>
  <c r="D70" i="11"/>
  <c r="D80" i="11"/>
  <c r="I12" i="4"/>
  <c r="L63" i="4"/>
  <c r="L97" i="4" s="1"/>
  <c r="L105" i="4" s="1"/>
  <c r="Q12" i="4"/>
  <c r="B11" i="4"/>
  <c r="G63" i="13"/>
  <c r="G97" i="13"/>
  <c r="G105" i="13" s="1"/>
  <c r="G107" i="13" s="1"/>
  <c r="D20" i="11"/>
  <c r="D8" i="11"/>
  <c r="D85" i="11"/>
  <c r="D102" i="11"/>
  <c r="K12" i="4"/>
  <c r="C43" i="11"/>
  <c r="D7" i="11"/>
  <c r="J12" i="4"/>
  <c r="D25" i="11"/>
  <c r="B11" i="13"/>
  <c r="D12" i="4"/>
  <c r="H12" i="4"/>
  <c r="C82" i="11"/>
  <c r="D23" i="11"/>
  <c r="D19" i="11"/>
  <c r="D35" i="11"/>
  <c r="D31" i="11"/>
  <c r="D32" i="11"/>
  <c r="D15" i="11"/>
  <c r="D14" i="11"/>
  <c r="N12" i="4"/>
  <c r="H63" i="4"/>
  <c r="H97" i="4"/>
  <c r="H105" i="4" s="1"/>
  <c r="F12" i="4"/>
  <c r="M12" i="4"/>
  <c r="D59" i="11"/>
  <c r="R42" i="4"/>
  <c r="B38" i="4"/>
  <c r="D58" i="11"/>
  <c r="D101" i="11"/>
  <c r="R62" i="4"/>
  <c r="D92" i="11"/>
  <c r="D75" i="11"/>
  <c r="D28" i="11"/>
  <c r="D88" i="11"/>
  <c r="D42" i="11"/>
  <c r="D16" i="11"/>
  <c r="B12" i="11"/>
  <c r="B42" i="4"/>
  <c r="D77" i="11"/>
  <c r="D47" i="11"/>
  <c r="M63" i="4"/>
  <c r="R104" i="4"/>
  <c r="D41" i="11"/>
  <c r="K63" i="4"/>
  <c r="K97" i="4" s="1"/>
  <c r="K105" i="4" s="1"/>
  <c r="AD7" i="15"/>
  <c r="E63" i="4"/>
  <c r="K28" i="7"/>
  <c r="W28" i="7"/>
  <c r="S28" i="7"/>
  <c r="AG28" i="7"/>
  <c r="M28" i="7"/>
  <c r="Q28" i="7"/>
  <c r="U28" i="7"/>
  <c r="D104" i="11"/>
  <c r="E12" i="4"/>
  <c r="D30" i="8"/>
  <c r="D96" i="11"/>
  <c r="AB223" i="20"/>
  <c r="AB239" i="20" s="1"/>
  <c r="AB241" i="20" s="1"/>
  <c r="AB243" i="20" s="1"/>
  <c r="AB249" i="20" s="1"/>
  <c r="AD198" i="20" s="1"/>
  <c r="C9" i="11" l="1"/>
  <c r="B9" i="11"/>
  <c r="AK21" i="7"/>
  <c r="AM21" i="7" s="1"/>
  <c r="AO21" i="7" s="1"/>
  <c r="AQ21" i="7" s="1"/>
  <c r="AS21" i="7" s="1"/>
  <c r="AU21" i="7" s="1"/>
  <c r="AW21" i="7" s="1"/>
  <c r="AY21" i="7" s="1"/>
  <c r="BA21" i="7" s="1"/>
  <c r="BC21" i="7" s="1"/>
  <c r="BE21" i="7" s="1"/>
  <c r="BG21" i="7" s="1"/>
  <c r="BI21" i="7" s="1"/>
  <c r="BK21" i="7" s="1"/>
  <c r="G40" i="7"/>
  <c r="AK40" i="7"/>
  <c r="AK43" i="7" s="1"/>
  <c r="O29" i="7"/>
  <c r="AK20" i="7"/>
  <c r="AM20" i="7" s="1"/>
  <c r="AO20" i="7" s="1"/>
  <c r="AQ20" i="7" s="1"/>
  <c r="AS20" i="7" s="1"/>
  <c r="AU20" i="7" s="1"/>
  <c r="AW20" i="7" s="1"/>
  <c r="AY20" i="7" s="1"/>
  <c r="BA20" i="7" s="1"/>
  <c r="BC20" i="7" s="1"/>
  <c r="BE20" i="7" s="1"/>
  <c r="BG20" i="7" s="1"/>
  <c r="BI20" i="7" s="1"/>
  <c r="BK20" i="7" s="1"/>
  <c r="AK57" i="7"/>
  <c r="AM57" i="7" s="1"/>
  <c r="AO57" i="7" s="1"/>
  <c r="AQ57" i="7" s="1"/>
  <c r="AS57" i="7" s="1"/>
  <c r="AU57" i="7" s="1"/>
  <c r="AW57" i="7" s="1"/>
  <c r="AY57" i="7" s="1"/>
  <c r="BA57" i="7" s="1"/>
  <c r="BC57" i="7" s="1"/>
  <c r="BE57" i="7" s="1"/>
  <c r="BG57" i="7" s="1"/>
  <c r="BI57" i="7" s="1"/>
  <c r="BK57" i="7" s="1"/>
  <c r="AK30" i="7"/>
  <c r="AM30" i="7" s="1"/>
  <c r="AO30" i="7" s="1"/>
  <c r="AQ30" i="7" s="1"/>
  <c r="AS30" i="7" s="1"/>
  <c r="AU30" i="7" s="1"/>
  <c r="AW30" i="7" s="1"/>
  <c r="AY30" i="7" s="1"/>
  <c r="BA30" i="7" s="1"/>
  <c r="BC30" i="7" s="1"/>
  <c r="BE30" i="7" s="1"/>
  <c r="BG30" i="7" s="1"/>
  <c r="BI30" i="7" s="1"/>
  <c r="BK30" i="7" s="1"/>
  <c r="AM56" i="7"/>
  <c r="AO56" i="7" s="1"/>
  <c r="AQ56" i="7" s="1"/>
  <c r="AS56" i="7" s="1"/>
  <c r="AU56" i="7" s="1"/>
  <c r="AW56" i="7" s="1"/>
  <c r="AY56" i="7" s="1"/>
  <c r="BA56" i="7" s="1"/>
  <c r="BC56" i="7" s="1"/>
  <c r="BE56" i="7" s="1"/>
  <c r="BG56" i="7" s="1"/>
  <c r="BI56" i="7" s="1"/>
  <c r="BK56" i="7" s="1"/>
  <c r="AK56" i="7"/>
  <c r="AK18" i="7"/>
  <c r="AM18" i="7" s="1"/>
  <c r="AO18" i="7" s="1"/>
  <c r="AQ18" i="7" s="1"/>
  <c r="AS18" i="7" s="1"/>
  <c r="AU18" i="7" s="1"/>
  <c r="AW18" i="7" s="1"/>
  <c r="AY18" i="7" s="1"/>
  <c r="BA18" i="7" s="1"/>
  <c r="BC18" i="7" s="1"/>
  <c r="BE18" i="7" s="1"/>
  <c r="BG18" i="7" s="1"/>
  <c r="BI18" i="7" s="1"/>
  <c r="BK18" i="7" s="1"/>
  <c r="AK16" i="7"/>
  <c r="AM16" i="7" s="1"/>
  <c r="AO16" i="7" s="1"/>
  <c r="AQ16" i="7" s="1"/>
  <c r="AS16" i="7" s="1"/>
  <c r="AU16" i="7" s="1"/>
  <c r="AW16" i="7" s="1"/>
  <c r="AY16" i="7" s="1"/>
  <c r="BA16" i="7" s="1"/>
  <c r="BC16" i="7" s="1"/>
  <c r="BE16" i="7" s="1"/>
  <c r="BG16" i="7" s="1"/>
  <c r="BI16" i="7" s="1"/>
  <c r="BK16" i="7" s="1"/>
  <c r="AK31" i="7"/>
  <c r="AM31" i="7" s="1"/>
  <c r="AO31" i="7" s="1"/>
  <c r="AQ31" i="7" s="1"/>
  <c r="AS31" i="7" s="1"/>
  <c r="AU31" i="7" s="1"/>
  <c r="AW31" i="7" s="1"/>
  <c r="AY31" i="7" s="1"/>
  <c r="BA31" i="7" s="1"/>
  <c r="BC31" i="7" s="1"/>
  <c r="BE31" i="7" s="1"/>
  <c r="BG31" i="7" s="1"/>
  <c r="BI31" i="7" s="1"/>
  <c r="BK31" i="7" s="1"/>
  <c r="AK55" i="7"/>
  <c r="AM55" i="7" s="1"/>
  <c r="AO55" i="7" s="1"/>
  <c r="AQ55" i="7" s="1"/>
  <c r="AS55" i="7" s="1"/>
  <c r="AU55" i="7" s="1"/>
  <c r="AW55" i="7" s="1"/>
  <c r="AY55" i="7" s="1"/>
  <c r="BA55" i="7" s="1"/>
  <c r="BC55" i="7" s="1"/>
  <c r="BE55" i="7" s="1"/>
  <c r="BG55" i="7" s="1"/>
  <c r="BI55" i="7" s="1"/>
  <c r="BK55" i="7" s="1"/>
  <c r="AK17" i="7"/>
  <c r="AM17" i="7" s="1"/>
  <c r="AO17" i="7" s="1"/>
  <c r="AQ17" i="7" s="1"/>
  <c r="AS17" i="7" s="1"/>
  <c r="AU17" i="7" s="1"/>
  <c r="AW17" i="7" s="1"/>
  <c r="AY17" i="7" s="1"/>
  <c r="BA17" i="7" s="1"/>
  <c r="BC17" i="7" s="1"/>
  <c r="BE17" i="7" s="1"/>
  <c r="BG17" i="7" s="1"/>
  <c r="BI17" i="7" s="1"/>
  <c r="BK17" i="7" s="1"/>
  <c r="K29" i="7"/>
  <c r="AK24" i="7"/>
  <c r="AM24" i="7" s="1"/>
  <c r="AO24" i="7" s="1"/>
  <c r="AQ24" i="7" s="1"/>
  <c r="AS24" i="7" s="1"/>
  <c r="AU24" i="7" s="1"/>
  <c r="AW24" i="7" s="1"/>
  <c r="AY24" i="7" s="1"/>
  <c r="BA24" i="7" s="1"/>
  <c r="BC24" i="7" s="1"/>
  <c r="BE24" i="7" s="1"/>
  <c r="BG24" i="7" s="1"/>
  <c r="BI24" i="7" s="1"/>
  <c r="BK24" i="7" s="1"/>
  <c r="AK69" i="7"/>
  <c r="AM69" i="7" s="1"/>
  <c r="AO69" i="7" s="1"/>
  <c r="AQ69" i="7" s="1"/>
  <c r="AS69" i="7" s="1"/>
  <c r="AU69" i="7" s="1"/>
  <c r="AW69" i="7" s="1"/>
  <c r="AY69" i="7" s="1"/>
  <c r="BA69" i="7" s="1"/>
  <c r="BC69" i="7" s="1"/>
  <c r="BE69" i="7" s="1"/>
  <c r="BG69" i="7" s="1"/>
  <c r="BI69" i="7" s="1"/>
  <c r="BK69" i="7" s="1"/>
  <c r="Y29" i="7"/>
  <c r="AK68" i="7"/>
  <c r="AM68" i="7" s="1"/>
  <c r="AO68" i="7" s="1"/>
  <c r="AQ68" i="7" s="1"/>
  <c r="AS68" i="7" s="1"/>
  <c r="AU68" i="7" s="1"/>
  <c r="AW68" i="7" s="1"/>
  <c r="AY68" i="7" s="1"/>
  <c r="BA68" i="7" s="1"/>
  <c r="BC68" i="7" s="1"/>
  <c r="BE68" i="7" s="1"/>
  <c r="BG68" i="7" s="1"/>
  <c r="BI68" i="7" s="1"/>
  <c r="BK68" i="7" s="1"/>
  <c r="G58" i="7"/>
  <c r="AG40" i="7"/>
  <c r="AG43" i="7" s="1"/>
  <c r="S40" i="7"/>
  <c r="S43" i="7" s="1"/>
  <c r="AW40" i="7"/>
  <c r="AW43" i="7" s="1"/>
  <c r="AI40" i="7"/>
  <c r="AI43" i="7" s="1"/>
  <c r="AY40" i="7"/>
  <c r="AY43" i="7" s="1"/>
  <c r="BA40" i="7"/>
  <c r="BA43" i="7" s="1"/>
  <c r="AO40" i="7"/>
  <c r="AO43" i="7" s="1"/>
  <c r="BE40" i="7"/>
  <c r="BE43" i="7" s="1"/>
  <c r="AS40" i="7"/>
  <c r="AS43" i="7" s="1"/>
  <c r="BI40" i="7"/>
  <c r="BI43" i="7" s="1"/>
  <c r="BC40" i="7"/>
  <c r="BC43" i="7" s="1"/>
  <c r="BG40" i="7"/>
  <c r="BG43" i="7" s="1"/>
  <c r="BK40" i="7"/>
  <c r="BK43" i="7" s="1"/>
  <c r="AM40" i="7"/>
  <c r="AM43" i="7" s="1"/>
  <c r="AQ40" i="7"/>
  <c r="AQ43" i="7" s="1"/>
  <c r="AU40" i="7"/>
  <c r="AU43" i="7" s="1"/>
  <c r="O28" i="7"/>
  <c r="AU28" i="7"/>
  <c r="BK28" i="7"/>
  <c r="AW28" i="7"/>
  <c r="AI28" i="7"/>
  <c r="AY28" i="7"/>
  <c r="BA28" i="7"/>
  <c r="AM28" i="7"/>
  <c r="BC28" i="7"/>
  <c r="AO28" i="7"/>
  <c r="BE28" i="7"/>
  <c r="AQ28" i="7"/>
  <c r="AS28" i="7"/>
  <c r="BG28" i="7"/>
  <c r="BI28" i="7"/>
  <c r="AW29" i="7"/>
  <c r="AI29" i="7"/>
  <c r="AY29" i="7"/>
  <c r="BA29" i="7"/>
  <c r="AM29" i="7"/>
  <c r="BC29" i="7"/>
  <c r="AO29" i="7"/>
  <c r="BE29" i="7"/>
  <c r="AQ29" i="7"/>
  <c r="BG29" i="7"/>
  <c r="AS29" i="7"/>
  <c r="AU29" i="7"/>
  <c r="BI29" i="7"/>
  <c r="BK29" i="7"/>
  <c r="G43" i="7"/>
  <c r="AK172" i="20"/>
  <c r="AO65" i="20"/>
  <c r="B105" i="11"/>
  <c r="R96" i="4"/>
  <c r="D84" i="11"/>
  <c r="N97" i="4"/>
  <c r="N105" i="4" s="1"/>
  <c r="B97" i="11"/>
  <c r="B104" i="13"/>
  <c r="D73" i="11"/>
  <c r="D60" i="11"/>
  <c r="D44" i="11"/>
  <c r="D9" i="11"/>
  <c r="C12" i="13"/>
  <c r="M97" i="4"/>
  <c r="M105" i="4" s="1"/>
  <c r="C71" i="11"/>
  <c r="C105" i="11"/>
  <c r="D105" i="11" s="1"/>
  <c r="B8" i="4"/>
  <c r="N158" i="26" s="1"/>
  <c r="N164" i="26" s="1"/>
  <c r="D52" i="11"/>
  <c r="R38" i="4"/>
  <c r="R54" i="4"/>
  <c r="R63" i="4" s="1"/>
  <c r="R97" i="4" s="1"/>
  <c r="R105" i="4" s="1"/>
  <c r="AB48" i="15"/>
  <c r="C97" i="11"/>
  <c r="D6" i="11"/>
  <c r="S63" i="4"/>
  <c r="S97" i="4" s="1"/>
  <c r="T63" i="4"/>
  <c r="G63" i="4"/>
  <c r="G97" i="4" s="1"/>
  <c r="G105" i="4" s="1"/>
  <c r="R77" i="4"/>
  <c r="C12" i="4"/>
  <c r="O12" i="4"/>
  <c r="R81" i="4"/>
  <c r="AD200" i="20"/>
  <c r="D12" i="13"/>
  <c r="D63" i="4"/>
  <c r="D97" i="4" s="1"/>
  <c r="D105" i="4" s="1"/>
  <c r="C12" i="11"/>
  <c r="D12" i="11" s="1"/>
  <c r="B62" i="4"/>
  <c r="C78" i="11"/>
  <c r="D51" i="11"/>
  <c r="B63" i="11"/>
  <c r="B82" i="11"/>
  <c r="B78" i="11"/>
  <c r="D36" i="11"/>
  <c r="C63" i="11"/>
  <c r="D63" i="11" s="1"/>
  <c r="C63" i="13"/>
  <c r="C97" i="13" s="1"/>
  <c r="C105" i="13" s="1"/>
  <c r="D30" i="11"/>
  <c r="B43" i="11"/>
  <c r="D43" i="11" s="1"/>
  <c r="C39" i="11"/>
  <c r="D82" i="11"/>
  <c r="D76" i="11"/>
  <c r="D71" i="11"/>
  <c r="D66" i="11"/>
  <c r="E97" i="4"/>
  <c r="E105" i="4" s="1"/>
  <c r="D62" i="11"/>
  <c r="F63" i="4"/>
  <c r="F97" i="4" s="1"/>
  <c r="F105" i="4" s="1"/>
  <c r="B55" i="11"/>
  <c r="C55" i="11"/>
  <c r="D55" i="11" s="1"/>
  <c r="B54" i="13"/>
  <c r="R26" i="4"/>
  <c r="D21" i="11"/>
  <c r="B39" i="11"/>
  <c r="D39" i="11" s="1"/>
  <c r="D38" i="11"/>
  <c r="C63" i="4"/>
  <c r="C97" i="4" s="1"/>
  <c r="C105" i="4" s="1"/>
  <c r="C27" i="11"/>
  <c r="R12" i="4"/>
  <c r="B13" i="11"/>
  <c r="B12" i="4"/>
  <c r="AC28" i="7"/>
  <c r="AE28" i="7"/>
  <c r="Y28" i="7"/>
  <c r="AA28" i="7"/>
  <c r="I28" i="7"/>
  <c r="G28" i="7"/>
  <c r="Q30" i="21" a="1"/>
  <c r="Q30" i="21" s="1"/>
  <c r="AZ835" i="3"/>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I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AI33" i="7" s="1"/>
  <c r="K40" i="7"/>
  <c r="K43" i="7" s="1"/>
  <c r="G26" i="7"/>
  <c r="I26" i="7" s="1"/>
  <c r="K26" i="7" s="1"/>
  <c r="M26" i="7" s="1"/>
  <c r="O26" i="7" s="1"/>
  <c r="Q26" i="7" s="1"/>
  <c r="S26" i="7" s="1"/>
  <c r="U26" i="7" s="1"/>
  <c r="W26" i="7" s="1"/>
  <c r="Y26" i="7" s="1"/>
  <c r="AA26" i="7" s="1"/>
  <c r="AC26" i="7" s="1"/>
  <c r="AE26" i="7" s="1"/>
  <c r="AG26" i="7" s="1"/>
  <c r="AI26" i="7" s="1"/>
  <c r="G27" i="7"/>
  <c r="I27" i="7" s="1"/>
  <c r="K27" i="7" s="1"/>
  <c r="M27" i="7" s="1"/>
  <c r="O27" i="7" s="1"/>
  <c r="Q27" i="7" s="1"/>
  <c r="S27" i="7" s="1"/>
  <c r="U27" i="7" s="1"/>
  <c r="W27" i="7" s="1"/>
  <c r="Y27" i="7" s="1"/>
  <c r="AA27" i="7" s="1"/>
  <c r="AC27" i="7" s="1"/>
  <c r="AE27" i="7" s="1"/>
  <c r="AG27" i="7" s="1"/>
  <c r="AI27" i="7" s="1"/>
  <c r="I29" i="7"/>
  <c r="Q28" i="21" a="1"/>
  <c r="Q28" i="21" s="1"/>
  <c r="AG444" i="3"/>
  <c r="AD27" i="15" s="1"/>
  <c r="DR621" i="3"/>
  <c r="S24"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R29" i="21"/>
  <c r="S38" i="21"/>
  <c r="S29" i="21"/>
  <c r="S20" i="21"/>
  <c r="P38" i="21" a="1"/>
  <c r="P38" i="21" s="1"/>
  <c r="P29" i="21" a="1"/>
  <c r="P29" i="21" s="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AI19" i="7" s="1"/>
  <c r="Q33" i="21" a="1"/>
  <c r="Q33" i="21" s="1"/>
  <c r="R24" i="21"/>
  <c r="T25" i="21"/>
  <c r="O43" i="21"/>
  <c r="Q24" i="21" a="1"/>
  <c r="Q24" i="21" s="1"/>
  <c r="E25" i="21"/>
  <c r="J30" i="8"/>
  <c r="Z793" i="3" s="1"/>
  <c r="G53" i="21"/>
  <c r="E24" i="21"/>
  <c r="E22" i="21"/>
  <c r="F22" i="21" s="1"/>
  <c r="G30" i="8"/>
  <c r="I15" i="7"/>
  <c r="E26" i="21"/>
  <c r="E23" i="21"/>
  <c r="F23" i="21" s="1"/>
  <c r="G23" i="21" s="1"/>
  <c r="B63" i="4" l="1"/>
  <c r="B12" i="13"/>
  <c r="N135" i="4"/>
  <c r="AE695" i="3" s="1"/>
  <c r="AK33" i="7"/>
  <c r="AM33" i="7" s="1"/>
  <c r="AO33" i="7" s="1"/>
  <c r="AQ33" i="7" s="1"/>
  <c r="AS33" i="7" s="1"/>
  <c r="AU33" i="7" s="1"/>
  <c r="AW33" i="7" s="1"/>
  <c r="AY33" i="7" s="1"/>
  <c r="BA33" i="7" s="1"/>
  <c r="BC33" i="7" s="1"/>
  <c r="BE33" i="7" s="1"/>
  <c r="BG33" i="7" s="1"/>
  <c r="BI33" i="7" s="1"/>
  <c r="BK33" i="7" s="1"/>
  <c r="AK27" i="7"/>
  <c r="AM27" i="7" s="1"/>
  <c r="AO27" i="7" s="1"/>
  <c r="AQ27" i="7" s="1"/>
  <c r="AS27" i="7" s="1"/>
  <c r="AU27" i="7" s="1"/>
  <c r="AW27" i="7" s="1"/>
  <c r="AY27" i="7" s="1"/>
  <c r="BA27" i="7" s="1"/>
  <c r="BC27" i="7" s="1"/>
  <c r="BE27" i="7" s="1"/>
  <c r="BG27" i="7" s="1"/>
  <c r="BI27" i="7" s="1"/>
  <c r="BK27" i="7" s="1"/>
  <c r="AK32" i="7"/>
  <c r="AM32" i="7" s="1"/>
  <c r="AO32" i="7" s="1"/>
  <c r="AQ32" i="7" s="1"/>
  <c r="AS32" i="7" s="1"/>
  <c r="AU32" i="7" s="1"/>
  <c r="AW32" i="7" s="1"/>
  <c r="AY32" i="7" s="1"/>
  <c r="BA32" i="7" s="1"/>
  <c r="BC32" i="7" s="1"/>
  <c r="BE32" i="7" s="1"/>
  <c r="BG32" i="7" s="1"/>
  <c r="BI32" i="7" s="1"/>
  <c r="BK32" i="7" s="1"/>
  <c r="AK19" i="7"/>
  <c r="AM19" i="7" s="1"/>
  <c r="AO19" i="7" s="1"/>
  <c r="AQ19" i="7" s="1"/>
  <c r="AS19" i="7" s="1"/>
  <c r="AU19" i="7" s="1"/>
  <c r="AW19" i="7" s="1"/>
  <c r="AY19" i="7" s="1"/>
  <c r="BA19" i="7" s="1"/>
  <c r="BC19" i="7" s="1"/>
  <c r="BE19" i="7" s="1"/>
  <c r="BG19" i="7" s="1"/>
  <c r="BI19" i="7" s="1"/>
  <c r="BK19" i="7" s="1"/>
  <c r="AK26" i="7"/>
  <c r="AM26" i="7" s="1"/>
  <c r="AO26" i="7" s="1"/>
  <c r="AQ26" i="7" s="1"/>
  <c r="AS26" i="7" s="1"/>
  <c r="AU26" i="7" s="1"/>
  <c r="AW26" i="7" s="1"/>
  <c r="AY26" i="7" s="1"/>
  <c r="BA26" i="7" s="1"/>
  <c r="BC26" i="7" s="1"/>
  <c r="BE26" i="7" s="1"/>
  <c r="BG26" i="7" s="1"/>
  <c r="BI26" i="7" s="1"/>
  <c r="BK26" i="7" s="1"/>
  <c r="I58" i="7"/>
  <c r="AS351" i="20"/>
  <c r="AS347" i="20" s="1"/>
  <c r="AK458" i="20" s="1"/>
  <c r="T802" i="20" s="1"/>
  <c r="AF802" i="20" s="1"/>
  <c r="E63" i="13"/>
  <c r="H63" i="13"/>
  <c r="T97" i="4"/>
  <c r="D97" i="11"/>
  <c r="C13" i="11"/>
  <c r="D13" i="11" s="1"/>
  <c r="C64" i="11"/>
  <c r="C98" i="11" s="1"/>
  <c r="D78" i="11"/>
  <c r="E97" i="13"/>
  <c r="S105" i="4"/>
  <c r="B64" i="11"/>
  <c r="B98" i="11" s="1"/>
  <c r="B106" i="11" s="1"/>
  <c r="B63" i="13"/>
  <c r="AC869" i="3"/>
  <c r="EC628" i="3"/>
  <c r="T800" i="20"/>
  <c r="AF800" i="20" s="1"/>
  <c r="Y27" i="15"/>
  <c r="AI27" i="15"/>
  <c r="T789" i="20"/>
  <c r="AF789" i="20" s="1"/>
  <c r="AK78" i="20"/>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0" i="21" s="1"/>
  <c r="P30" i="21" s="1" a="1"/>
  <c r="P30" i="21" s="1"/>
  <c r="R30"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K58" i="7" l="1"/>
  <c r="H97" i="13"/>
  <c r="T105" i="4"/>
  <c r="S107" i="4"/>
  <c r="E105" i="13"/>
  <c r="D64" i="11"/>
  <c r="AB47" i="15"/>
  <c r="AB49" i="15" s="1"/>
  <c r="AB54" i="15" s="1"/>
  <c r="AB55" i="15" s="1"/>
  <c r="N154" i="26"/>
  <c r="AW116" i="20"/>
  <c r="O21" i="21"/>
  <c r="P21" i="21" s="1" a="1"/>
  <c r="P21" i="21" s="1"/>
  <c r="R21" i="21" s="1"/>
  <c r="O20" i="21"/>
  <c r="P20" i="21" s="1" a="1"/>
  <c r="P20" i="21" s="1"/>
  <c r="R20" i="21" s="1"/>
  <c r="O23" i="21"/>
  <c r="P23" i="21" s="1" a="1"/>
  <c r="P23" i="21" s="1"/>
  <c r="R23" i="21" s="1"/>
  <c r="O32" i="21"/>
  <c r="P32" i="21" s="1" a="1"/>
  <c r="P32" i="21" s="1"/>
  <c r="R32" i="21" s="1"/>
  <c r="O25" i="21"/>
  <c r="P25" i="21" s="1" a="1"/>
  <c r="P25" i="21" s="1"/>
  <c r="R25" i="21" s="1"/>
  <c r="O28" i="21"/>
  <c r="P28" i="21" s="1" a="1"/>
  <c r="P28" i="21" s="1"/>
  <c r="R28" i="21" s="1"/>
  <c r="O31" i="21"/>
  <c r="P31" i="21" s="1" a="1"/>
  <c r="P31" i="21" s="1"/>
  <c r="R31" i="21" s="1"/>
  <c r="O27" i="21"/>
  <c r="P27" i="21" s="1" a="1"/>
  <c r="P27" i="21" s="1"/>
  <c r="R27" i="21" s="1"/>
  <c r="O33" i="21"/>
  <c r="P33" i="21" s="1" a="1"/>
  <c r="P33" i="21" s="1"/>
  <c r="R33" i="21" s="1"/>
  <c r="O22" i="21"/>
  <c r="P22" i="21" s="1" a="1"/>
  <c r="P22" i="21" s="1"/>
  <c r="R22" i="21" s="1"/>
  <c r="O26" i="21"/>
  <c r="P26" i="21" s="1" a="1"/>
  <c r="P26" i="21" s="1"/>
  <c r="R26" i="21" s="1"/>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M58" i="7" l="1"/>
  <c r="H105" i="13"/>
  <c r="T107" i="4"/>
  <c r="H107" i="13" s="1"/>
  <c r="AF540" i="20"/>
  <c r="AC455" i="3"/>
  <c r="E107" i="13"/>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O58" i="7" l="1"/>
  <c r="AF806" i="20"/>
  <c r="AD11" i="15"/>
  <c r="AD23" i="15" s="1"/>
  <c r="AD26" i="15" s="1"/>
  <c r="AD28" i="15" s="1"/>
  <c r="AI11" i="15"/>
  <c r="AI23" i="15" s="1"/>
  <c r="AI26" i="15" s="1"/>
  <c r="AI28" i="15" s="1"/>
  <c r="T11" i="15"/>
  <c r="T23" i="15" s="1"/>
  <c r="Y11" i="15"/>
  <c r="Y23" i="15" s="1"/>
  <c r="Y26" i="15" s="1"/>
  <c r="Y28" i="15" s="1"/>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Q58" i="7" l="1"/>
  <c r="T26" i="15"/>
  <c r="T28" i="15" s="1"/>
  <c r="T29" i="15" s="1"/>
  <c r="Y64" i="15"/>
  <c r="Y68" i="15" s="1"/>
  <c r="K5" i="7"/>
  <c r="E47" i="7"/>
  <c r="E60" i="7"/>
  <c r="E62" i="7" s="1"/>
  <c r="T24" i="15"/>
  <c r="AP546" i="20"/>
  <c r="AP545" i="20" s="1"/>
  <c r="AP548" i="20" s="1"/>
  <c r="AF541" i="20" s="1"/>
  <c r="AF542" i="20" s="1"/>
  <c r="O4" i="7"/>
  <c r="M5" i="7"/>
  <c r="I45" i="7"/>
  <c r="I49" i="7"/>
  <c r="M6" i="7"/>
  <c r="K7" i="7"/>
  <c r="G60" i="7"/>
  <c r="G47" i="7"/>
  <c r="G48" i="7"/>
  <c r="Q22" i="7"/>
  <c r="Q35" i="7" s="1"/>
  <c r="S15" i="7"/>
  <c r="G95" i="21"/>
  <c r="G96" i="21" s="1"/>
  <c r="G29" i="21"/>
  <c r="G31" i="21" s="1"/>
  <c r="E9" i="21" s="1"/>
  <c r="G104" i="21"/>
  <c r="G106" i="21" s="1"/>
  <c r="G79" i="21"/>
  <c r="G64" i="21"/>
  <c r="Q9" i="7"/>
  <c r="S8" i="7"/>
  <c r="S58" i="7" l="1"/>
  <c r="Y38" i="15"/>
  <c r="Y40" i="15" s="1"/>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U58" i="7" l="1"/>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W58" i="7" l="1"/>
  <c r="AB57" i="15"/>
  <c r="U4" i="7"/>
  <c r="S5" i="7"/>
  <c r="P203" i="3"/>
  <c r="M48" i="7"/>
  <c r="M47" i="7"/>
  <c r="M60" i="7"/>
  <c r="O45" i="7"/>
  <c r="O49" i="7"/>
  <c r="K66" i="7"/>
  <c r="K62" i="7"/>
  <c r="Q7" i="7"/>
  <c r="Q11" i="7" s="1"/>
  <c r="Q37" i="7" s="1"/>
  <c r="S6" i="7"/>
  <c r="I70" i="7"/>
  <c r="I72" i="7" s="1"/>
  <c r="W22" i="7"/>
  <c r="W35" i="7" s="1"/>
  <c r="Y15" i="7"/>
  <c r="W9" i="7"/>
  <c r="Y8" i="7"/>
  <c r="Y58" i="7" l="1"/>
  <c r="AB59" i="15"/>
  <c r="AB76" i="15" s="1"/>
  <c r="AB77" i="15" s="1"/>
  <c r="AB78" i="15" s="1"/>
  <c r="U5" i="7"/>
  <c r="W4" i="7"/>
  <c r="Q49" i="7"/>
  <c r="Q45" i="7"/>
  <c r="M62" i="7"/>
  <c r="M66" i="7"/>
  <c r="O47" i="7"/>
  <c r="O48" i="7"/>
  <c r="O60" i="7"/>
  <c r="K70" i="7"/>
  <c r="K72" i="7" s="1"/>
  <c r="S7" i="7"/>
  <c r="S11" i="7" s="1"/>
  <c r="S37" i="7" s="1"/>
  <c r="U6" i="7"/>
  <c r="Y22" i="7"/>
  <c r="Y35" i="7" s="1"/>
  <c r="AA15" i="7"/>
  <c r="Y9" i="7"/>
  <c r="AA8" i="7"/>
  <c r="AA58" i="7" l="1"/>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C58" i="7" l="1"/>
  <c r="P204" i="3"/>
  <c r="AA4" i="7"/>
  <c r="Y5" i="7"/>
  <c r="Y6" i="7"/>
  <c r="W7" i="7"/>
  <c r="W11" i="7" s="1"/>
  <c r="W37" i="7" s="1"/>
  <c r="U45" i="7"/>
  <c r="U49" i="7"/>
  <c r="Q66" i="7"/>
  <c r="Q62" i="7"/>
  <c r="S48" i="7"/>
  <c r="S47" i="7"/>
  <c r="S60" i="7"/>
  <c r="O70" i="7"/>
  <c r="O72" i="7" s="1"/>
  <c r="AE15" i="7"/>
  <c r="AC22" i="7"/>
  <c r="AC35" i="7" s="1"/>
  <c r="AC9" i="7"/>
  <c r="AE8" i="7"/>
  <c r="AE58" i="7" l="1"/>
  <c r="AA5" i="7"/>
  <c r="AC4" i="7"/>
  <c r="S66" i="7"/>
  <c r="S62" i="7"/>
  <c r="U48" i="7"/>
  <c r="U60" i="7"/>
  <c r="U47" i="7"/>
  <c r="Q70" i="7"/>
  <c r="Q72" i="7" s="1"/>
  <c r="W49" i="7"/>
  <c r="W45" i="7"/>
  <c r="Y7" i="7"/>
  <c r="Y11" i="7" s="1"/>
  <c r="Y37" i="7" s="1"/>
  <c r="AA6" i="7"/>
  <c r="AE22" i="7"/>
  <c r="AE35" i="7" s="1"/>
  <c r="AG15" i="7"/>
  <c r="AE9" i="7"/>
  <c r="AG8" i="7"/>
  <c r="AG9" i="7" l="1"/>
  <c r="AI8" i="7"/>
  <c r="AK8" i="7" s="1"/>
  <c r="AK9" i="7" s="1"/>
  <c r="AG22" i="7"/>
  <c r="AG35" i="7" s="1"/>
  <c r="AI15" i="7"/>
  <c r="AK15" i="7" s="1"/>
  <c r="AK22" i="7" s="1"/>
  <c r="AK35" i="7" s="1"/>
  <c r="AK58" i="7"/>
  <c r="AG58" i="7"/>
  <c r="S70" i="7"/>
  <c r="S72" i="7" s="1"/>
  <c r="AC5" i="7"/>
  <c r="AE4" i="7"/>
  <c r="AC6" i="7"/>
  <c r="AA7" i="7"/>
  <c r="AA11" i="7" s="1"/>
  <c r="AA37" i="7" s="1"/>
  <c r="Y49" i="7"/>
  <c r="Y45" i="7"/>
  <c r="W60" i="7"/>
  <c r="W47" i="7"/>
  <c r="W48" i="7"/>
  <c r="AI58" i="7" l="1"/>
  <c r="AI22" i="7"/>
  <c r="AI35" i="7" s="1"/>
  <c r="AI9" i="7"/>
  <c r="AE5" i="7"/>
  <c r="AG4" i="7"/>
  <c r="AA45" i="7"/>
  <c r="AA49" i="7"/>
  <c r="U70" i="7"/>
  <c r="U72" i="7" s="1"/>
  <c r="Y47" i="7"/>
  <c r="Y48" i="7"/>
  <c r="Y60" i="7"/>
  <c r="AE6" i="7"/>
  <c r="AC7" i="7"/>
  <c r="AC11" i="7" s="1"/>
  <c r="AC37" i="7" s="1"/>
  <c r="AM8" i="7" l="1"/>
  <c r="AM15" i="7"/>
  <c r="AG5" i="7"/>
  <c r="AI4" i="7"/>
  <c r="AK4" i="7" s="1"/>
  <c r="W70" i="7"/>
  <c r="W72" i="7" s="1"/>
  <c r="AA60" i="7"/>
  <c r="AA47" i="7"/>
  <c r="AA48" i="7"/>
  <c r="AC45" i="7"/>
  <c r="AC49" i="7"/>
  <c r="AE7" i="7"/>
  <c r="AE11" i="7" s="1"/>
  <c r="AE37" i="7" s="1"/>
  <c r="AG6" i="7"/>
  <c r="AI6" i="7" s="1"/>
  <c r="AK6" i="7" s="1"/>
  <c r="AK7" i="7" s="1"/>
  <c r="AK5" i="7" l="1"/>
  <c r="AK11" i="7"/>
  <c r="AK37" i="7" s="1"/>
  <c r="AO15" i="7"/>
  <c r="AM22" i="7"/>
  <c r="AM35" i="7" s="1"/>
  <c r="AI5" i="7"/>
  <c r="AI7" i="7"/>
  <c r="AM58" i="7"/>
  <c r="AM9" i="7"/>
  <c r="AO8" i="7"/>
  <c r="Y70" i="7"/>
  <c r="Y72" i="7" s="1"/>
  <c r="AG7" i="7"/>
  <c r="AG11" i="7" s="1"/>
  <c r="AG37" i="7" s="1"/>
  <c r="AE49" i="7"/>
  <c r="AE45" i="7"/>
  <c r="AC60" i="7"/>
  <c r="AC48" i="7"/>
  <c r="AC47" i="7"/>
  <c r="AK45" i="7" l="1"/>
  <c r="AK49" i="7"/>
  <c r="AI11" i="7"/>
  <c r="AI37" i="7" s="1"/>
  <c r="AI45" i="7" s="1"/>
  <c r="AM6" i="7"/>
  <c r="AQ8" i="7"/>
  <c r="AO9" i="7"/>
  <c r="AM4" i="7"/>
  <c r="AQ15" i="7"/>
  <c r="AO22" i="7"/>
  <c r="AO35" i="7" s="1"/>
  <c r="AO58" i="7"/>
  <c r="AA70" i="7"/>
  <c r="AA72" i="7" s="1"/>
  <c r="AE47" i="7"/>
  <c r="AE60" i="7"/>
  <c r="AE48" i="7"/>
  <c r="AG49" i="7"/>
  <c r="AG45" i="7"/>
  <c r="AI49" i="7" l="1"/>
  <c r="AK47" i="7"/>
  <c r="AK48" i="7"/>
  <c r="AK60" i="7"/>
  <c r="AQ58" i="7"/>
  <c r="AS8" i="7"/>
  <c r="AQ9" i="7"/>
  <c r="AO4" i="7"/>
  <c r="AM5" i="7"/>
  <c r="AS15" i="7"/>
  <c r="AQ22" i="7"/>
  <c r="AQ35" i="7" s="1"/>
  <c r="AO6" i="7"/>
  <c r="AM7" i="7"/>
  <c r="AI48" i="7"/>
  <c r="AI47" i="7"/>
  <c r="AI60" i="7"/>
  <c r="AG48" i="7"/>
  <c r="AG60" i="7"/>
  <c r="AG47" i="7"/>
  <c r="AC70" i="7"/>
  <c r="AC72" i="7" s="1"/>
  <c r="AM11" i="7" l="1"/>
  <c r="AM37" i="7" s="1"/>
  <c r="AM45" i="7" s="1"/>
  <c r="AQ6" i="7"/>
  <c r="AO7" i="7"/>
  <c r="AU15" i="7"/>
  <c r="AS22" i="7"/>
  <c r="AS35" i="7" s="1"/>
  <c r="AU8" i="7"/>
  <c r="AS9" i="7"/>
  <c r="AQ4" i="7"/>
  <c r="AO5" i="7"/>
  <c r="AS58" i="7"/>
  <c r="AE70" i="7"/>
  <c r="AE72" i="7" s="1"/>
  <c r="AO11" i="7" l="1"/>
  <c r="AO37" i="7" s="1"/>
  <c r="AK70" i="7"/>
  <c r="AK72" i="7" s="1"/>
  <c r="AM49" i="7"/>
  <c r="AW8" i="7"/>
  <c r="AU9" i="7"/>
  <c r="AW15" i="7"/>
  <c r="AU22" i="7"/>
  <c r="AU35" i="7" s="1"/>
  <c r="AO45" i="7"/>
  <c r="AO49" i="7"/>
  <c r="AS6" i="7"/>
  <c r="AQ7" i="7"/>
  <c r="AU58" i="7"/>
  <c r="AI70" i="7"/>
  <c r="AI72" i="7" s="1"/>
  <c r="AS4" i="7"/>
  <c r="AQ5" i="7"/>
  <c r="AQ11" i="7" s="1"/>
  <c r="AQ37" i="7" s="1"/>
  <c r="AM47" i="7"/>
  <c r="AM48" i="7"/>
  <c r="AM60" i="7"/>
  <c r="AG70" i="7"/>
  <c r="AG72" i="7" s="1"/>
  <c r="AW58" i="7" l="1"/>
  <c r="AO47" i="7"/>
  <c r="AO60" i="7"/>
  <c r="AO48" i="7"/>
  <c r="AY15" i="7"/>
  <c r="AW22" i="7"/>
  <c r="AW35" i="7" s="1"/>
  <c r="AU4" i="7"/>
  <c r="AS5" i="7"/>
  <c r="AQ45" i="7"/>
  <c r="AQ49" i="7"/>
  <c r="AU6" i="7"/>
  <c r="AS7" i="7"/>
  <c r="AY8" i="7"/>
  <c r="AW9" i="7"/>
  <c r="AM70" i="7" l="1"/>
  <c r="AM72" i="7" s="1"/>
  <c r="BA8" i="7"/>
  <c r="AY9" i="7"/>
  <c r="AO70" i="7"/>
  <c r="AO72" i="7" s="1"/>
  <c r="AS11" i="7"/>
  <c r="AS37" i="7" s="1"/>
  <c r="AW6" i="7"/>
  <c r="AU7" i="7"/>
  <c r="AW4" i="7"/>
  <c r="AU5" i="7"/>
  <c r="AY58" i="7"/>
  <c r="AQ47" i="7"/>
  <c r="AQ48" i="7"/>
  <c r="AQ60" i="7"/>
  <c r="BA15" i="7"/>
  <c r="AY22" i="7"/>
  <c r="AY35" i="7" s="1"/>
  <c r="AU11" i="7" l="1"/>
  <c r="AU37" i="7" s="1"/>
  <c r="AU45" i="7"/>
  <c r="AU49" i="7"/>
  <c r="AY6" i="7"/>
  <c r="AW7" i="7"/>
  <c r="AS49" i="7"/>
  <c r="AS45" i="7"/>
  <c r="BA58" i="7"/>
  <c r="BC15" i="7"/>
  <c r="BA22" i="7"/>
  <c r="BA35" i="7" s="1"/>
  <c r="AY4" i="7"/>
  <c r="AW5" i="7"/>
  <c r="AW11" i="7" s="1"/>
  <c r="AW37" i="7" s="1"/>
  <c r="BC8" i="7"/>
  <c r="BA9" i="7"/>
  <c r="AQ70" i="7" l="1"/>
  <c r="AQ72" i="7" s="1"/>
  <c r="AW45" i="7"/>
  <c r="AW49" i="7"/>
  <c r="BC58" i="7"/>
  <c r="BA4" i="7"/>
  <c r="AY5" i="7"/>
  <c r="AY11" i="7" s="1"/>
  <c r="AY37" i="7" s="1"/>
  <c r="AS48" i="7"/>
  <c r="AS47" i="7"/>
  <c r="AS60" i="7"/>
  <c r="BA6" i="7"/>
  <c r="AY7" i="7"/>
  <c r="BC9" i="7"/>
  <c r="BE8" i="7"/>
  <c r="BE15" i="7"/>
  <c r="BC22" i="7"/>
  <c r="BC35" i="7" s="1"/>
  <c r="AU47" i="7"/>
  <c r="AU60" i="7"/>
  <c r="AU48" i="7"/>
  <c r="AY49" i="7" l="1"/>
  <c r="AY45" i="7"/>
  <c r="BG8" i="7"/>
  <c r="BE9" i="7"/>
  <c r="BC6" i="7"/>
  <c r="BA7" i="7"/>
  <c r="BC4" i="7"/>
  <c r="BA5" i="7"/>
  <c r="BE58" i="7"/>
  <c r="BG15" i="7"/>
  <c r="BE22" i="7"/>
  <c r="BE35" i="7" s="1"/>
  <c r="AW47" i="7"/>
  <c r="AW60" i="7"/>
  <c r="AW48" i="7"/>
  <c r="BA11" i="7" l="1"/>
  <c r="BA37" i="7" s="1"/>
  <c r="BA49" i="7" s="1"/>
  <c r="AU70" i="7"/>
  <c r="BE6" i="7"/>
  <c r="BC7" i="7"/>
  <c r="BI8" i="7"/>
  <c r="BG9" i="7"/>
  <c r="AU72" i="7"/>
  <c r="AY48" i="7"/>
  <c r="AY47" i="7"/>
  <c r="AY60" i="7"/>
  <c r="BE4" i="7"/>
  <c r="BC5" i="7"/>
  <c r="BI15" i="7"/>
  <c r="BG22" i="7"/>
  <c r="BG35" i="7" s="1"/>
  <c r="BG58" i="7"/>
  <c r="AS70" i="7"/>
  <c r="AS72" i="7" s="1"/>
  <c r="BA45" i="7" l="1"/>
  <c r="BC11" i="7"/>
  <c r="BC37" i="7" s="1"/>
  <c r="BC45" i="7"/>
  <c r="BC49" i="7"/>
  <c r="AW70" i="7"/>
  <c r="AW72" i="7" s="1"/>
  <c r="BG4" i="7"/>
  <c r="BE5" i="7"/>
  <c r="BA47" i="7"/>
  <c r="BA48" i="7"/>
  <c r="BA60" i="7"/>
  <c r="BI58" i="7"/>
  <c r="BK15" i="7"/>
  <c r="BI22" i="7"/>
  <c r="BI35" i="7" s="1"/>
  <c r="BG6" i="7"/>
  <c r="BE7" i="7"/>
  <c r="BE11" i="7" s="1"/>
  <c r="BE37" i="7" s="1"/>
  <c r="BK8" i="7"/>
  <c r="BI9" i="7"/>
  <c r="BE49" i="7" l="1"/>
  <c r="BE45" i="7"/>
  <c r="BI6" i="7"/>
  <c r="BG7" i="7"/>
  <c r="BK22" i="7"/>
  <c r="BK35" i="7" s="1"/>
  <c r="BK9" i="7"/>
  <c r="BI4" i="7"/>
  <c r="BG5" i="7"/>
  <c r="BK58" i="7"/>
  <c r="AY70" i="7"/>
  <c r="AY72" i="7" s="1"/>
  <c r="BC48" i="7"/>
  <c r="BC60" i="7"/>
  <c r="BC47" i="7"/>
  <c r="BG11" i="7" l="1"/>
  <c r="BG37" i="7" s="1"/>
  <c r="BA70" i="7"/>
  <c r="BA72" i="7" s="1"/>
  <c r="BC70" i="7"/>
  <c r="BC72" i="7" s="1"/>
  <c r="BG45" i="7"/>
  <c r="BG49" i="7"/>
  <c r="BK4" i="7"/>
  <c r="BI5" i="7"/>
  <c r="BK6" i="7"/>
  <c r="BI7" i="7"/>
  <c r="BE48" i="7"/>
  <c r="BE47" i="7"/>
  <c r="BE60" i="7"/>
  <c r="BG47" i="7" l="1"/>
  <c r="BG48" i="7"/>
  <c r="BG60" i="7"/>
  <c r="BK7" i="7"/>
  <c r="BI11" i="7"/>
  <c r="BI37" i="7" s="1"/>
  <c r="BK5" i="7"/>
  <c r="BK11" i="7" l="1"/>
  <c r="BK37" i="7" s="1"/>
  <c r="BK49" i="7" s="1"/>
  <c r="BK45" i="7"/>
  <c r="BE70" i="7"/>
  <c r="BE72" i="7" s="1"/>
  <c r="BI45" i="7"/>
  <c r="BI49" i="7"/>
  <c r="BG70" i="7" l="1"/>
  <c r="BG72" i="7" s="1"/>
  <c r="BI47" i="7"/>
  <c r="BI48" i="7"/>
  <c r="BI60" i="7"/>
  <c r="BK48" i="7"/>
  <c r="BK47" i="7"/>
  <c r="BK60" i="7"/>
  <c r="BI70" i="7" l="1"/>
  <c r="BI72" i="7"/>
  <c r="BK70" i="7" l="1"/>
  <c r="BK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9D0E4629-F9F9-4C16-A952-DFC802AEA9A1}">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18FDCFD2-D570-416A-A2D0-E63B22382446}">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<sst xmlns="http://schemas.openxmlformats.org/spreadsheetml/2006/main" count="5253" uniqueCount="2782">
  <si>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</si>
  <si>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</si>
  <si>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</si>
  <si>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</si>
  <si>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</si>
  <si>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</si>
  <si>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</si>
  <si>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</si>
  <si>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</si>
  <si>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</si>
  <si>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</si>
  <si>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</si>
  <si>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</si>
  <si>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</si>
  <si>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</si>
  <si>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</si>
  <si>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</si>
  <si>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</si>
  <si>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</si>
  <si>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</si>
  <si>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</si>
  <si>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</si>
  <si>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</si>
  <si>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</si>
  <si>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</si>
  <si>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</si>
  <si>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</si>
  <si>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</si>
  <si>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</si>
  <si>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</si>
  <si>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</si>
  <si>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</si>
  <si>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</si>
  <si>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</si>
  <si>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</si>
  <si>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</si>
  <si>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</si>
  <si>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</si>
  <si>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</si>
  <si>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</si>
  <si>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</si>
  <si>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</si>
  <si>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</si>
  <si>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</si>
  <si>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</si>
  <si>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</si>
  <si>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</si>
  <si>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</si>
  <si>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</si>
  <si>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</si>
  <si>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</si>
  <si>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</si>
  <si>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</si>
  <si>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</si>
  <si>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</si>
  <si>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</si>
  <si>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</si>
  <si>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</si>
  <si>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</si>
  <si>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</si>
  <si>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</si>
  <si>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</si>
  <si>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</si>
  <si>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</si>
  <si>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</si>
  <si>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</si>
  <si>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</si>
  <si>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</si>
  <si>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</si>
  <si>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</si>
  <si>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</si>
  <si>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</si>
  <si>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</si>
  <si>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</si>
  <si>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</si>
  <si>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</si>
  <si>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</si>
  <si>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</si>
  <si>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</si>
  <si>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</si>
  <si>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</si>
  <si>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</si>
  <si>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</si>
  <si>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</si>
  <si>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</si>
  <si>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</si>
  <si>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</si>
  <si>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</si>
  <si>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</si>
  <si>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</si>
  <si>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</si>
  <si>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</si>
  <si>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</si>
  <si>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</si>
  <si>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</si>
  <si>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</si>
  <si>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</si>
  <si>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</si>
  <si>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</si>
  <si>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</si>
  <si>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</si>
  <si>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</si>
  <si>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</si>
  <si>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</si>
  <si>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</si>
  <si>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</si>
  <si>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</si>
  <si>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</si>
  <si>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</si>
  <si>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</si>
  <si>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</si>
  <si>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</si>
  <si>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</si>
  <si>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</si>
  <si>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</si>
  <si>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</si>
  <si>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</si>
  <si>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</si>
  <si>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</si>
  <si>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</si>
  <si>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</si>
  <si>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</si>
  <si>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</si>
  <si>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</si>
  <si>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</si>
  <si>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</si>
  <si>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</si>
  <si>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</si>
  <si>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</si>
  <si>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</si>
  <si>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</si>
  <si>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</si>
  <si>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</si>
  <si>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</si>
  <si>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</si>
  <si>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</si>
  <si>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</si>
  <si>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</si>
  <si>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</si>
  <si>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</si>
  <si>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</si>
  <si>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</si>
  <si>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</si>
  <si>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</si>
  <si>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</si>
  <si>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</si>
  <si>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</si>
  <si>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</si>
  <si>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</si>
  <si>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</si>
  <si>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</si>
  <si>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</si>
  <si>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</si>
  <si>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</si>
  <si>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</si>
  <si>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</si>
  <si>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</si>
  <si>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</si>
  <si>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</si>
  <si>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</si>
  <si>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</si>
  <si>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</si>
  <si>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</si>
  <si>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</si>
  <si>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</si>
  <si>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</si>
  <si>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</si>
  <si>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</si>
  <si>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</si>
  <si>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</si>
  <si>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</si>
  <si>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</si>
  <si>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</si>
  <si>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</si>
  <si>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</si>
  <si>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</si>
  <si>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</si>
  <si>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</si>
  <si>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</si>
  <si>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</si>
  <si>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</si>
  <si>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</si>
  <si>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</si>
  <si>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</si>
  <si>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</si>
  <si>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</si>
  <si>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</si>
  <si>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</si>
  <si>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</si>
  <si>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</si>
  <si>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</si>
  <si>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</si>
  <si>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</si>
  <si>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</si>
  <si>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</si>
  <si>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</si>
  <si>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</si>
  <si>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</si>
  <si>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</si>
  <si>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</si>
  <si>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</si>
  <si>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</si>
  <si>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</si>
  <si>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</si>
  <si>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</si>
  <si>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</si>
  <si>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</si>
  <si>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</si>
  <si>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</si>
  <si>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</si>
  <si>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</si>
  <si>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</si>
  <si>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</si>
  <si>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</si>
  <si>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</si>
  <si>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</si>
  <si>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</si>
  <si>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</si>
  <si>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</si>
  <si>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</si>
  <si>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</si>
  <si>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</si>
  <si>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</si>
  <si>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</si>
  <si>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</si>
  <si>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</si>
  <si>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</si>
  <si>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</si>
  <si>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</si>
  <si>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</si>
  <si>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</si>
  <si>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</si>
  <si>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</si>
  <si>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</si>
  <si>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</si>
  <si>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</si>
  <si>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</si>
  <si>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</si>
  <si>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</si>
  <si>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</si>
  <si>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</si>
  <si>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</si>
  <si>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</si>
  <si>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</si>
  <si>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</si>
  <si>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</si>
  <si>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</si>
  <si>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</si>
  <si>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</si>
  <si>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</si>
  <si>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</si>
  <si>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</si>
  <si>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</si>
  <si>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</si>
  <si>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</si>
  <si>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</si>
  <si>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</si>
  <si>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</si>
  <si>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</si>
  <si>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</si>
  <si>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</si>
  <si>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</si>
  <si>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</si>
  <si>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</si>
  <si>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</si>
  <si>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</si>
  <si>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</si>
  <si>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</si>
  <si>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</si>
  <si>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</si>
  <si>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</si>
  <si>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</si>
  <si>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</si>
  <si>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</si>
  <si>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</si>
  <si>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</si>
  <si>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</si>
  <si>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</si>
  <si>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</si>
  <si>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</si>
  <si>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</si>
  <si>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</si>
  <si>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</si>
  <si>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</si>
  <si>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</si>
  <si>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</si>
  <si>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</si>
  <si>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</si>
  <si>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</si>
  <si>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</si>
  <si>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</si>
  <si>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</si>
  <si>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</si>
  <si>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</si>
  <si>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</si>
  <si>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</si>
  <si>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</si>
  <si>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</si>
  <si>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</si>
  <si>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</si>
  <si>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</si>
  <si>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</si>
  <si>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</si>
  <si>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</si>
  <si>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</si>
  <si>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</si>
  <si>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</si>
  <si>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</si>
  <si>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</si>
  <si>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</si>
  <si>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</si>
  <si>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</si>
  <si>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</si>
  <si>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</si>
  <si>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</si>
  <si>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</si>
  <si>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</si>
  <si>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</si>
  <si>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</si>
  <si>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</si>
  <si>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</si>
  <si>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</si>
  <si>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</si>
  <si>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</si>
  <si>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</si>
  <si>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</si>
  <si>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</si>
  <si>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</si>
  <si>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</si>
  <si>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</si>
  <si>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</si>
  <si>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</si>
  <si>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</si>
  <si>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</si>
  <si>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</si>
  <si>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</si>
  <si>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</si>
  <si>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</si>
  <si>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</si>
  <si>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</si>
  <si>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</si>
  <si>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</si>
  <si>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</si>
  <si>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</si>
  <si>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</si>
  <si>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</si>
  <si>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</si>
  <si>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</si>
  <si>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</si>
  <si>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</si>
  <si>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</si>
  <si>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</si>
  <si>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</si>
  <si>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</si>
  <si>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</si>
  <si>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</si>
  <si>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</si>
  <si>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</si>
  <si>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</si>
  <si>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</si>
  <si>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</si>
  <si>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</si>
  <si>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</si>
  <si>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</si>
  <si>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</si>
  <si>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</si>
  <si>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</si>
  <si>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</si>
  <si>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</si>
  <si>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</si>
  <si>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</si>
  <si>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</si>
  <si>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</si>
  <si>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</si>
  <si>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</si>
  <si>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</si>
  <si>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</si>
  <si>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</si>
  <si>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</si>
  <si>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</si>
  <si>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</si>
  <si>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</si>
  <si>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</si>
  <si>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</si>
  <si>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</si>
  <si>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</si>
  <si>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</si>
  <si>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</si>
  <si>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</si>
  <si>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</si>
  <si>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</si>
  <si>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</si>
  <si>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</si>
  <si>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</si>
  <si>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</si>
  <si>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</si>
  <si>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</si>
  <si>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</si>
  <si>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</si>
  <si>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</si>
  <si>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</si>
  <si>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</si>
  <si>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</si>
  <si>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</si>
  <si>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</si>
  <si>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</si>
  <si>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</si>
  <si>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</si>
  <si>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</si>
  <si>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</si>
  <si>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</si>
  <si>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</si>
  <si>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</si>
  <si>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</si>
  <si>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</si>
  <si>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</si>
  <si>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</si>
  <si>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</si>
  <si>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</si>
  <si>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</si>
  <si>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</si>
  <si>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</si>
  <si>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</si>
  <si>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</si>
  <si>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</si>
  <si>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</si>
  <si>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</si>
  <si>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</si>
  <si>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</si>
  <si>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</si>
  <si>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</si>
  <si>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</si>
  <si>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</si>
  <si>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</si>
  <si>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</si>
  <si>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</si>
  <si>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</si>
  <si>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</si>
  <si>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</si>
  <si>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</si>
  <si>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</si>
  <si>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</si>
  <si>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</si>
  <si>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</si>
  <si>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</si>
  <si>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</si>
  <si>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</si>
  <si>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</si>
  <si>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</si>
  <si>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</si>
  <si>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</si>
  <si>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</si>
  <si>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</si>
  <si>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</si>
  <si>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</si>
  <si>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</si>
  <si>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</si>
  <si>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</si>
  <si>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</si>
  <si>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</si>
  <si>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</si>
  <si>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</si>
  <si>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</si>
  <si>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</si>
  <si>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</si>
  <si>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</si>
  <si>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</si>
  <si>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</si>
  <si>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</si>
  <si>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</si>
  <si>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</si>
  <si>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</si>
  <si>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</si>
  <si>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</si>
  <si>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</si>
  <si>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</si>
  <si>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</si>
  <si>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</si>
  <si>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</si>
  <si>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</si>
  <si>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</si>
  <si>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</si>
  <si>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</si>
  <si>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</si>
  <si>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</si>
  <si>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</si>
  <si>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</si>
  <si>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</si>
  <si>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</si>
  <si>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</si>
  <si>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</si>
  <si>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</si>
  <si>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</si>
  <si>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</si>
  <si>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</si>
  <si>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</si>
  <si>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</si>
  <si>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</si>
  <si>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</si>
  <si>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</si>
  <si>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</si>
  <si>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</si>
  <si>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</si>
  <si>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</si>
  <si>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</si>
  <si>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</si>
  <si>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</si>
  <si>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</si>
  <si>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</si>
  <si>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</si>
  <si>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</si>
  <si>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</si>
  <si>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</si>
  <si>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</si>
  <si>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</si>
  <si>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</si>
  <si>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</si>
  <si>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</si>
  <si>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</si>
  <si>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</si>
  <si>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</si>
  <si>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</si>
  <si>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</si>
  <si>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</si>
  <si>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</si>
  <si>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</si>
  <si>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</si>
  <si>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</si>
  <si>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</si>
  <si>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</si>
  <si>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</si>
  <si>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</si>
  <si>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</si>
  <si>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</si>
  <si>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</si>
  <si>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</si>
  <si>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</si>
  <si>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</si>
  <si>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</si>
  <si>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</si>
  <si>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</si>
  <si>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</si>
  <si>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</si>
  <si>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</si>
  <si>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</si>
  <si>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</si>
  <si>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</si>
  <si>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</si>
  <si>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</si>
  <si>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</si>
  <si>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</si>
  <si>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</si>
  <si>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</si>
  <si>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</si>
  <si>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</si>
  <si>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</si>
  <si>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</si>
  <si>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</si>
  <si>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</si>
  <si>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</si>
  <si>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</si>
  <si>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</si>
  <si>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</si>
  <si>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</si>
  <si>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</si>
  <si>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</si>
  <si>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</si>
  <si>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</si>
  <si>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</si>
  <si>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</si>
  <si>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</si>
  <si>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</si>
  <si>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</si>
  <si>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</si>
  <si>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</si>
  <si>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</si>
  <si>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</si>
  <si>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</si>
  <si>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</si>
  <si>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</si>
  <si>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</si>
  <si>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</si>
  <si>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</si>
  <si>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</si>
  <si>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</si>
  <si>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</si>
  <si>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</si>
  <si>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</si>
  <si>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</si>
  <si>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</si>
  <si>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</si>
  <si>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</si>
  <si>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</si>
  <si>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</si>
  <si>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</si>
  <si>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</si>
  <si>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</si>
  <si>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</si>
  <si>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</si>
  <si>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</si>
  <si>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</si>
  <si>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</si>
  <si>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</si>
  <si>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</si>
  <si>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</si>
  <si>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</si>
  <si>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</si>
  <si>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</si>
  <si>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</si>
  <si>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</si>
  <si>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</si>
  <si>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</si>
  <si>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</si>
  <si>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</si>
  <si>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</si>
  <si>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</si>
  <si>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</si>
  <si>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</si>
  <si>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</si>
  <si>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</si>
  <si>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</si>
  <si>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</si>
  <si>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</si>
  <si>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</si>
  <si>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</si>
  <si>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</si>
  <si>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</si>
  <si>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</si>
  <si>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</si>
  <si>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</si>
  <si>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</si>
  <si>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</si>
  <si>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</si>
  <si>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</si>
  <si>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</si>
  <si>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</si>
  <si>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</si>
  <si>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</si>
  <si>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</si>
  <si>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</si>
  <si>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</si>
  <si>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</si>
  <si>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</si>
  <si>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</si>
  <si>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</si>
  <si>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</si>
  <si>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</si>
  <si>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</si>
  <si>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</si>
  <si>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</si>
  <si>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</si>
  <si>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</si>
  <si>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</si>
  <si>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</si>
  <si>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</si>
  <si>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</si>
  <si>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</si>
  <si>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</si>
  <si>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</si>
  <si>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</si>
  <si>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</si>
  <si>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</si>
  <si>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</si>
  <si>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</si>
  <si>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</si>
  <si>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</si>
  <si>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</si>
  <si>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</si>
  <si>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</si>
  <si>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</si>
  <si>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</si>
  <si>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</si>
  <si>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</si>
  <si>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</si>
  <si>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</si>
  <si>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</si>
  <si>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</si>
  <si>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</si>
  <si>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</si>
  <si>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</si>
  <si>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</si>
  <si>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</si>
  <si>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</si>
  <si>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</si>
  <si>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</si>
  <si>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</si>
  <si>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</si>
  <si>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</si>
  <si>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</si>
  <si>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</si>
  <si>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</si>
  <si>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</si>
  <si>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</si>
  <si>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</si>
  <si>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</si>
  <si>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</si>
  <si>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</si>
  <si>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</si>
  <si>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</si>
  <si>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</si>
  <si>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</si>
  <si>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</si>
  <si>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</si>
  <si>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</si>
  <si>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</si>
  <si>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</si>
  <si>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</si>
  <si>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</si>
  <si>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</si>
  <si>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</si>
  <si>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</si>
  <si>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</si>
  <si>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</si>
  <si>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</si>
  <si>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</si>
  <si>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</si>
  <si>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</si>
  <si>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</si>
  <si>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</si>
  <si>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</si>
  <si>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</si>
  <si>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</si>
  <si>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</si>
  <si>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</si>
  <si>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</si>
  <si>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</si>
  <si>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</si>
  <si>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</si>
  <si>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</si>
  <si>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</si>
  <si>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</si>
  <si>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</si>
  <si>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</si>
  <si>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</si>
  <si>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</si>
  <si>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</si>
  <si>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</si>
  <si>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</si>
  <si>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</si>
  <si>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</si>
  <si>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</si>
  <si>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</si>
  <si>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</si>
  <si>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</si>
  <si>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</si>
  <si>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</si>
  <si>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</si>
  <si>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</si>
  <si>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</si>
  <si>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</si>
  <si>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</si>
  <si>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</si>
  <si>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</si>
  <si>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</si>
  <si>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</si>
  <si>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</si>
  <si>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</si>
  <si>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</si>
  <si>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</si>
  <si>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</si>
  <si>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</si>
  <si>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</si>
  <si>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</si>
  <si>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</si>
  <si>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</si>
  <si>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</si>
  <si>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</si>
  <si>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</si>
  <si>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</si>
  <si>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</si>
  <si>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</si>
  <si>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</si>
  <si>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</si>
  <si>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</si>
  <si>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</si>
  <si>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</si>
  <si>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</si>
  <si>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</si>
  <si>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</si>
  <si>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</si>
  <si>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</si>
  <si>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</si>
  <si>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</si>
  <si>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</si>
  <si>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</si>
  <si>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</si>
  <si>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</si>
  <si>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</si>
  <si>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</si>
  <si>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</si>
  <si>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</si>
  <si>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</si>
  <si>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</si>
  <si>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</si>
  <si>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</si>
  <si>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</si>
  <si>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</si>
  <si>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</si>
  <si>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</si>
  <si>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</si>
  <si>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</si>
  <si>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</si>
  <si>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</si>
  <si>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</si>
  <si>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</si>
  <si>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</si>
  <si>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</si>
  <si>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</si>
  <si>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</si>
  <si>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</si>
  <si>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</si>
  <si>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</si>
  <si>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</si>
  <si>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</si>
  <si>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</si>
  <si>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</si>
  <si>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</si>
  <si>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</si>
  <si>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</si>
  <si>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</si>
  <si>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</si>
  <si>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</si>
  <si>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</si>
  <si>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</si>
  <si>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</si>
  <si>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</si>
  <si>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</si>
  <si>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</si>
  <si>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</si>
  <si>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</si>
  <si>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</si>
  <si>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</si>
  <si>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</si>
  <si>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</si>
  <si>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</si>
  <si>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</si>
  <si>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</si>
  <si>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</si>
  <si>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</si>
  <si>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</si>
  <si>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</si>
  <si>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</si>
  <si>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</si>
  <si>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</si>
  <si>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</si>
  <si>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</si>
  <si>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</si>
  <si>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</si>
  <si>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</si>
  <si>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</si>
  <si>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</si>
  <si>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</si>
  <si>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</si>
  <si>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</si>
  <si>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</si>
  <si>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</si>
  <si>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</si>
  <si>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</si>
  <si>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</si>
  <si>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</si>
  <si>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</si>
  <si>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</si>
  <si>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</si>
  <si>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</si>
  <si>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</si>
  <si>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</si>
  <si>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</si>
  <si>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</si>
  <si>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</si>
  <si>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</si>
  <si>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</si>
  <si>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</si>
  <si>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</si>
  <si>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</si>
  <si>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</si>
  <si>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</si>
  <si>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</si>
  <si>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</si>
  <si>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</si>
  <si>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</si>
  <si>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</si>
  <si>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</si>
  <si>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</si>
  <si>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</si>
  <si>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</si>
  <si>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</si>
  <si>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</si>
  <si>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</si>
  <si>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</si>
  <si>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</si>
  <si>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</si>
  <si>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</si>
  <si>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</si>
  <si>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</si>
  <si>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</si>
  <si>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</si>
  <si>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</si>
  <si>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</si>
  <si>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</si>
  <si>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</si>
  <si>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</si>
  <si>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</si>
  <si>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</si>
  <si>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</si>
  <si>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</si>
  <si>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</si>
  <si>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</si>
  <si>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</si>
  <si>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</si>
  <si>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</si>
  <si>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</si>
  <si>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</si>
  <si>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</si>
  <si>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</si>
  <si>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</si>
  <si>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</si>
  <si>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</si>
  <si>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</si>
  <si>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</si>
  <si>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</si>
  <si>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</si>
  <si>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</si>
  <si>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</si>
  <si>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</si>
  <si>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</si>
  <si>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</si>
  <si>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</si>
  <si>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</si>
  <si>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</si>
  <si>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</si>
  <si>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</si>
  <si>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</si>
  <si>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</si>
  <si>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</si>
  <si>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</si>
  <si>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</si>
  <si>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</si>
  <si>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</si>
  <si>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</si>
  <si>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</si>
  <si>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</si>
  <si>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</si>
  <si>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</si>
  <si>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</si>
  <si>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</si>
  <si>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</si>
  <si>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</si>
  <si>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</si>
  <si>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</si>
  <si>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</si>
  <si>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</si>
  <si>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</si>
  <si>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</si>
  <si>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</si>
  <si>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</si>
  <si>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</si>
  <si>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</si>
  <si>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</si>
  <si>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</si>
  <si>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</si>
  <si>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</si>
  <si>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</si>
  <si>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</si>
  <si>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</si>
  <si>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</si>
  <si>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</si>
  <si>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</si>
  <si>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</si>
  <si>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</si>
  <si>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</si>
  <si>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</si>
  <si>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</si>
  <si>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</si>
  <si>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</si>
  <si>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</si>
  <si>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</si>
  <si>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</si>
  <si>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</si>
  <si>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</si>
  <si>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</si>
  <si>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</si>
  <si>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</si>
  <si>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</si>
  <si>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</si>
  <si>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</si>
  <si>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</si>
  <si>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</si>
  <si>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</si>
  <si>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</si>
  <si>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</si>
  <si>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</si>
  <si>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</si>
  <si>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</si>
  <si>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</si>
  <si>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</si>
  <si>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</si>
  <si>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</si>
  <si>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</si>
  <si>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</si>
  <si>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</si>
  <si>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</si>
  <si>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</si>
  <si>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</si>
  <si>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</si>
  <si>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</si>
  <si>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</si>
  <si>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</si>
  <si>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</si>
  <si>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</si>
  <si>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</si>
  <si>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</si>
  <si>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</si>
  <si>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</si>
  <si>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</si>
  <si>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</si>
  <si>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</si>
  <si>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</si>
  <si>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</si>
  <si>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</si>
  <si>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</si>
  <si>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</si>
  <si>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</si>
  <si>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</si>
  <si>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</si>
  <si>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</si>
  <si>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</si>
  <si>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</si>
  <si>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</si>
  <si>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</si>
  <si>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</si>
  <si>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</si>
  <si>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</si>
  <si>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</si>
  <si>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</si>
  <si>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</si>
  <si>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</si>
  <si>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</si>
  <si>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</si>
  <si>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</si>
  <si>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</si>
  <si>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</si>
  <si>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</si>
  <si>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</si>
  <si>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</si>
  <si>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</si>
  <si>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</si>
  <si>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</si>
  <si>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</si>
  <si>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</si>
  <si>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</si>
  <si>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</si>
  <si>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</si>
  <si>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</si>
  <si>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</si>
  <si>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</si>
  <si>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</si>
  <si>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</si>
  <si>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</si>
  <si>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</si>
  <si>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</si>
  <si>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</si>
  <si>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</si>
  <si>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</si>
  <si>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</si>
  <si>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</si>
  <si>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</si>
  <si>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</si>
  <si>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</si>
  <si>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</si>
  <si>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</si>
  <si>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</si>
  <si>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</si>
  <si>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</si>
  <si>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</si>
  <si>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</si>
  <si>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</si>
  <si>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</si>
  <si>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</si>
  <si>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</si>
  <si>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</si>
  <si>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</si>
  <si>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</si>
  <si>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</si>
  <si>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</si>
  <si>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</si>
  <si>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</si>
  <si>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</si>
  <si>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</si>
  <si>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</si>
  <si>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</si>
  <si>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</si>
  <si>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</si>
  <si>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</si>
  <si>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</si>
  <si>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</si>
  <si>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</si>
  <si>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</si>
  <si>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</si>
  <si>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</si>
  <si>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</si>
  <si>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</si>
  <si>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</si>
  <si>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</si>
  <si>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</si>
  <si>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</si>
  <si>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</si>
  <si>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</si>
  <si>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</si>
  <si>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</si>
  <si>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</si>
  <si>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</si>
  <si>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</si>
  <si>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</si>
  <si>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</si>
  <si>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</si>
  <si>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</si>
  <si>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</si>
  <si>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</si>
  <si>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</si>
  <si>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</si>
  <si>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</si>
  <si>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</si>
  <si>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</si>
  <si>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</si>
  <si>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</si>
  <si>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</si>
  <si>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</si>
  <si>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</si>
  <si>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</si>
  <si>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</si>
  <si>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</si>
  <si>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</si>
  <si>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</si>
  <si>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</si>
  <si>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</si>
  <si>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</si>
  <si>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</si>
  <si>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</si>
  <si>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</si>
  <si>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</si>
  <si>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</si>
  <si>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</si>
  <si>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</si>
  <si>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</si>
  <si>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</si>
  <si>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</si>
  <si>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</si>
  <si>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</si>
  <si>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</si>
  <si>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</si>
  <si>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</si>
  <si>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</si>
  <si>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</si>
  <si>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</si>
  <si>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</si>
  <si>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</si>
  <si>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</si>
  <si>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</si>
  <si>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</si>
  <si>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</si>
  <si>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</si>
  <si>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</si>
  <si>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</si>
  <si>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</si>
  <si>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</si>
  <si>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</si>
  <si>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</si>
  <si>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</si>
  <si>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</si>
  <si>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</si>
  <si>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</si>
  <si>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</si>
  <si>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</si>
  <si>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</si>
  <si>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</si>
  <si>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</si>
  <si>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</si>
  <si>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</si>
  <si>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</si>
  <si>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</si>
  <si>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</si>
  <si>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</si>
  <si>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</si>
  <si>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</si>
  <si>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</si>
  <si>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</si>
  <si>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</si>
  <si>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</si>
  <si>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</si>
  <si>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</si>
  <si>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</si>
  <si>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</si>
  <si>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</si>
  <si>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</si>
  <si>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</si>
  <si>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</si>
  <si>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</si>
  <si>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</si>
  <si>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</si>
  <si>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</si>
  <si>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</si>
  <si>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</si>
  <si>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</si>
  <si>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</si>
  <si>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</si>
  <si>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</si>
  <si>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</si>
  <si>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</si>
  <si>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</si>
  <si>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</si>
  <si>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</si>
  <si>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</si>
  <si>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</si>
  <si>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</si>
  <si>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</si>
  <si>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</si>
  <si>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</si>
  <si>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</si>
  <si>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</si>
  <si>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</si>
  <si>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</si>
  <si>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</si>
  <si>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</si>
  <si>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</si>
  <si>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</si>
  <si>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</si>
  <si>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</si>
  <si>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</si>
  <si>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</si>
  <si>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</si>
  <si>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</si>
  <si>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</si>
  <si>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</si>
  <si>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</si>
  <si>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</si>
  <si>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</si>
  <si>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</si>
  <si>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</si>
  <si>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</si>
  <si>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</si>
  <si>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</si>
  <si>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</si>
  <si>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</si>
  <si>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</si>
  <si>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</si>
  <si>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</si>
  <si>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</si>
  <si>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</si>
  <si>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</si>
  <si>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</si>
  <si>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</si>
  <si>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</si>
  <si>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</si>
  <si>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</si>
  <si>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</si>
  <si>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</si>
  <si>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</si>
  <si>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</si>
  <si>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</si>
  <si>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</si>
  <si>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</si>
  <si>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</si>
  <si>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</si>
  <si>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</si>
  <si>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</si>
  <si>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</si>
  <si>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</si>
  <si>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</si>
  <si>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</si>
  <si>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</si>
  <si>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</si>
  <si>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</si>
  <si>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</si>
  <si>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</si>
  <si>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</si>
  <si>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</si>
  <si>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</si>
  <si>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</si>
  <si>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</si>
  <si>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</si>
  <si>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</si>
  <si>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</si>
  <si>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</si>
  <si>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</si>
  <si>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</si>
  <si>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</si>
  <si>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</si>
  <si>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</si>
  <si>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</si>
  <si>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</si>
  <si>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</si>
  <si>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</si>
  <si>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</si>
  <si>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</si>
  <si>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</si>
  <si>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</si>
  <si>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</si>
  <si>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</si>
  <si>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</si>
  <si>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</si>
  <si>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</si>
  <si>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</si>
  <si>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</si>
  <si>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</si>
  <si>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</si>
  <si>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</si>
  <si>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</si>
  <si>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</si>
  <si>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</si>
  <si>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</si>
  <si>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</si>
  <si>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</si>
  <si>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</si>
  <si>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</si>
  <si>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</si>
  <si>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</si>
  <si>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</si>
  <si>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</si>
  <si>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</si>
  <si>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</si>
  <si>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</si>
  <si>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</si>
  <si>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</si>
  <si>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</si>
  <si>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</si>
  <si>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</si>
  <si>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</si>
  <si>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</si>
  <si>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</si>
  <si>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</si>
  <si>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</si>
  <si>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</si>
  <si>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</si>
  <si>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</si>
  <si>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</si>
  <si>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</si>
  <si>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</si>
  <si>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</si>
  <si>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</si>
  <si>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</si>
  <si>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</si>
  <si>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</si>
  <si>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</si>
  <si>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</si>
  <si>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</si>
  <si>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</si>
  <si>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</si>
  <si>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</si>
  <si>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</si>
  <si>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</si>
  <si>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</si>
  <si>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</si>
  <si>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</si>
  <si>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</si>
  <si>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</si>
  <si>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</si>
  <si>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</si>
  <si>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</si>
  <si>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</si>
  <si>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</si>
  <si>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</si>
  <si>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</si>
  <si>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</si>
  <si>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</si>
  <si>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</si>
  <si>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</si>
  <si>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</si>
  <si>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</si>
  <si>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</si>
  <si>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</si>
  <si>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</si>
  <si>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</si>
  <si>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</si>
  <si>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</si>
  <si>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</si>
  <si>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</si>
  <si>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</si>
  <si>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</si>
  <si>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</si>
  <si>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</si>
  <si>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</si>
  <si>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</si>
  <si>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</si>
  <si>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</si>
  <si>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</si>
  <si>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</si>
  <si>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</si>
  <si>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</si>
  <si>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</si>
  <si>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</si>
  <si>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</si>
  <si>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</si>
  <si>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</si>
  <si>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</si>
  <si>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</si>
  <si>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</si>
  <si>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</si>
  <si>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</si>
  <si>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</si>
  <si>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</si>
  <si>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</si>
  <si>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</si>
  <si>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</si>
  <si>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</si>
  <si>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</si>
  <si>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</si>
  <si>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</si>
  <si>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</si>
  <si>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</si>
  <si>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</si>
  <si>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</si>
  <si>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</si>
  <si>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</si>
  <si>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</si>
  <si>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</si>
  <si>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</si>
  <si>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</si>
  <si>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</si>
  <si>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</si>
  <si>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</si>
  <si>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</si>
  <si>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</si>
  <si>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</si>
  <si>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</si>
  <si>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</si>
  <si>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</si>
  <si>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</si>
  <si>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</si>
  <si>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</si>
  <si>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</si>
  <si>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</si>
  <si>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</si>
  <si>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</si>
  <si>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</si>
  <si>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</si>
  <si>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</si>
  <si>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</si>
  <si>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</si>
  <si>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</si>
  <si>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</si>
  <si>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</si>
  <si>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</si>
  <si>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</si>
  <si>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</si>
  <si>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</si>
  <si>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</si>
  <si>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</si>
  <si>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</si>
  <si>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</si>
  <si>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</si>
  <si>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</si>
  <si>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</si>
  <si>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</si>
  <si>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</si>
  <si>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</si>
  <si>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</si>
  <si>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</si>
  <si>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</si>
  <si>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</si>
  <si>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</si>
  <si>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</si>
  <si>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</si>
  <si>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</si>
  <si>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</si>
  <si>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</si>
  <si>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</si>
  <si>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</si>
  <si>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</si>
  <si>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</si>
  <si>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</si>
  <si>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</si>
  <si>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</si>
  <si>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</si>
  <si>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</si>
  <si>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</si>
  <si>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</si>
  <si>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</si>
  <si>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</si>
  <si>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</si>
  <si>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</si>
  <si>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</si>
  <si>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</si>
  <si>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</si>
  <si>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</si>
  <si>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</si>
  <si>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</si>
  <si>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</si>
  <si>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</si>
  <si>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</si>
  <si>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</si>
  <si>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</si>
  <si>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</si>
  <si>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</si>
  <si>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</si>
  <si>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</si>
  <si>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</si>
  <si>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</si>
  <si>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</si>
  <si>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</si>
  <si>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</si>
  <si>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</si>
  <si>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</si>
  <si>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</si>
  <si>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</si>
  <si>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</si>
  <si>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</si>
  <si>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</si>
  <si>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</si>
  <si>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</si>
  <si>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</si>
  <si>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</si>
  <si>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</si>
  <si>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</si>
  <si>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</si>
  <si>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</si>
  <si>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</si>
  <si>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</si>
  <si>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</si>
  <si>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</si>
  <si>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</si>
  <si>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</si>
  <si>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</si>
  <si>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</si>
  <si>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</si>
  <si>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</si>
  <si>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</si>
  <si>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</si>
  <si>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</si>
  <si>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</si>
  <si>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</si>
  <si>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</si>
  <si>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</si>
  <si>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</si>
  <si>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</si>
  <si>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</si>
  <si>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</si>
  <si>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</si>
  <si>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</si>
  <si>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</si>
  <si>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</si>
  <si>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</si>
  <si>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</si>
  <si>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</si>
  <si>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</si>
  <si>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</si>
  <si>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</si>
  <si>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</si>
  <si>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</si>
  <si>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</si>
  <si>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</si>
  <si>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</si>
  <si>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</si>
  <si>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</si>
  <si>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</si>
  <si>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</si>
  <si>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</si>
  <si>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</si>
  <si>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</si>
  <si>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</si>
  <si>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</si>
  <si>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</si>
  <si>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</si>
  <si>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</si>
  <si>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</si>
  <si>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</si>
  <si>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</si>
  <si>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</si>
  <si>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</si>
  <si>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</si>
  <si>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</si>
  <si>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</si>
  <si>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</si>
  <si>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</si>
  <si>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</si>
  <si>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</si>
  <si>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</si>
  <si>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</si>
  <si>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</si>
  <si>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</si>
  <si>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</si>
  <si>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</si>
  <si>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</si>
  <si>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</si>
  <si>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</si>
  <si>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</si>
  <si>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</si>
  <si>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</si>
  <si>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</si>
  <si>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</si>
  <si>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</si>
  <si>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</si>
  <si>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</si>
  <si>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</si>
  <si>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</si>
  <si>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</si>
  <si>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</si>
  <si>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</si>
  <si>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</si>
  <si>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</si>
  <si>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</si>
  <si>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</si>
  <si>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</si>
  <si>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</si>
  <si>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</si>
  <si>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</si>
  <si>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</si>
  <si>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</si>
  <si>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</si>
  <si>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</si>
  <si>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</si>
  <si>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</si>
  <si>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</si>
  <si>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</si>
  <si>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</si>
  <si>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</si>
  <si>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</si>
  <si>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</si>
  <si>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</si>
  <si>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</si>
  <si>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</si>
  <si>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</si>
  <si>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</si>
  <si>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</si>
  <si>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</si>
  <si>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</si>
  <si>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</si>
  <si>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</si>
  <si>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</si>
  <si>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</si>
  <si>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</si>
  <si>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</si>
  <si>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</si>
  <si>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</si>
  <si>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</si>
  <si>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</si>
  <si>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</si>
  <si>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</si>
  <si>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</si>
  <si>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</si>
  <si>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</si>
  <si>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</si>
  <si>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</si>
  <si>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</si>
  <si>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</si>
  <si>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</si>
  <si>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</si>
  <si>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</si>
  <si>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</si>
  <si>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</si>
  <si>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</si>
  <si>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</si>
  <si>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</si>
  <si>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</si>
  <si>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</si>
  <si>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</si>
  <si>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</si>
  <si>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</si>
  <si>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</si>
  <si>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</si>
  <si>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</si>
  <si>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</si>
  <si>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</si>
  <si>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</si>
  <si>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</si>
  <si>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</si>
  <si>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</si>
  <si>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</si>
  <si>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</si>
  <si>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</si>
  <si>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</si>
  <si>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</si>
  <si>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</si>
  <si>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</si>
  <si>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</si>
  <si>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</si>
  <si>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</si>
  <si>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</si>
  <si>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</si>
  <si>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</si>
  <si>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</si>
  <si>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</si>
  <si>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</si>
  <si>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</si>
  <si>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</si>
  <si>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</si>
  <si>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</si>
  <si>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</si>
  <si>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</si>
  <si>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</si>
  <si>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</si>
  <si>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</si>
  <si>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</si>
  <si>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</si>
  <si>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</si>
  <si>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</si>
  <si>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</si>
  <si>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</si>
  <si>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</si>
  <si>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</si>
  <si>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</si>
  <si>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</si>
  <si>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</si>
  <si>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</si>
  <si>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</si>
  <si>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</si>
  <si>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</si>
  <si>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</si>
  <si>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</si>
  <si>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</si>
  <si>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</si>
  <si>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</si>
  <si>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</si>
  <si>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</si>
  <si>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</si>
  <si>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</si>
  <si>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</si>
  <si>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</si>
  <si>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</si>
  <si>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</si>
  <si>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</si>
  <si>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</si>
  <si>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</si>
  <si>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</si>
  <si>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</si>
  <si>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</si>
  <si>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</si>
  <si>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</si>
  <si>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</si>
  <si>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</si>
  <si>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</si>
  <si>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</si>
  <si>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</si>
  <si>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</si>
  <si>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</si>
  <si>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</si>
  <si>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</si>
  <si>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</si>
  <si>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</si>
  <si>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</si>
  <si>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</si>
  <si>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</si>
  <si>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</si>
  <si>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</si>
  <si>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</si>
  <si>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</si>
  <si>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</si>
  <si>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</si>
  <si>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</si>
  <si>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</si>
  <si>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</si>
  <si>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</si>
  <si>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</si>
  <si>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</si>
  <si>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</si>
  <si>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</si>
  <si>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</si>
  <si>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</si>
  <si>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</si>
  <si>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</si>
  <si>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</si>
  <si>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</si>
  <si>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</si>
  <si>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</si>
  <si>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</si>
  <si>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</si>
  <si>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</si>
  <si>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</si>
  <si>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</si>
  <si>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</si>
  <si>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</si>
  <si>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</si>
  <si>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</si>
  <si>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</si>
  <si>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</si>
  <si>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</si>
  <si>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</si>
  <si>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</si>
  <si>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</si>
  <si>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</si>
  <si>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</si>
  <si>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</si>
  <si>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</si>
  <si>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</si>
  <si>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</si>
  <si>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</si>
  <si>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</si>
  <si>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</si>
  <si>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</si>
  <si>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</si>
  <si>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</si>
  <si>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</si>
  <si>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</si>
  <si>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</si>
  <si>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</si>
  <si>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</si>
  <si>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</si>
  <si>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</si>
  <si>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</si>
  <si>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</si>
  <si>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</si>
  <si>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</si>
  <si>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</si>
  <si>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</si>
  <si>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</si>
  <si>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</si>
  <si>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</si>
  <si>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</si>
  <si>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</si>
  <si>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</si>
  <si>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</si>
  <si>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</si>
  <si>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</si>
  <si>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</si>
  <si>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</si>
  <si>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</si>
  <si>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</si>
  <si>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</si>
  <si>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</si>
  <si>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</si>
  <si>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</si>
  <si>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</si>
  <si>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</si>
  <si>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</si>
  <si>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</si>
  <si>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</si>
  <si>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</si>
  <si>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</si>
  <si>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</si>
  <si>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</si>
  <si>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</si>
  <si>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</si>
  <si>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</si>
  <si>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</si>
  <si>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</si>
  <si>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</si>
  <si>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</si>
  <si>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</si>
  <si>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</si>
  <si>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</si>
  <si>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</si>
  <si>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</si>
  <si>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</si>
  <si>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</si>
  <si>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</si>
  <si>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</si>
  <si>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</si>
  <si>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</si>
  <si>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</si>
  <si>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</si>
  <si>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</si>
  <si>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</si>
  <si>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</si>
  <si>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</si>
  <si>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</si>
  <si>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</si>
  <si>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</si>
  <si>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</si>
  <si>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</si>
  <si>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</si>
  <si>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</si>
  <si>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</si>
  <si>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</si>
  <si>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</si>
  <si>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</si>
  <si>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</si>
  <si>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</si>
  <si>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</si>
  <si>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</si>
  <si>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</si>
  <si>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</si>
  <si>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</si>
  <si>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</si>
  <si>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</si>
  <si>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</si>
  <si>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</si>
  <si>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</si>
  <si>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</si>
  <si>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</si>
  <si>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</si>
  <si>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</si>
  <si>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</si>
  <si>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</si>
  <si>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</si>
  <si>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</si>
  <si>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</si>
  <si>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</si>
  <si>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</si>
  <si>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</si>
  <si>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</si>
  <si>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</si>
  <si>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</si>
  <si>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</si>
  <si>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</si>
  <si>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</si>
  <si>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</si>
  <si>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</si>
  <si>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</si>
  <si>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</si>
  <si>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</si>
  <si>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</si>
  <si>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</si>
  <si>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</si>
  <si>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</si>
  <si>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</si>
  <si>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</si>
  <si>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</si>
  <si>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</si>
  <si>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</si>
  <si>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</si>
  <si>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</si>
  <si>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</si>
  <si>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</si>
  <si>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</si>
  <si>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</si>
  <si>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</si>
  <si>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</si>
  <si>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</si>
  <si>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</si>
  <si>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</si>
  <si>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</si>
  <si>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</si>
  <si>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</si>
  <si>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</si>
  <si>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</si>
  <si>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</si>
  <si>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</si>
  <si>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</si>
  <si>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</si>
  <si>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</si>
  <si>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</si>
  <si>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</si>
  <si>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</si>
  <si>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</si>
  <si>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</si>
  <si>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</si>
  <si>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</si>
  <si>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</si>
  <si>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</si>
  <si>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</si>
  <si>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</si>
  <si>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</si>
  <si>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</si>
  <si>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</si>
  <si>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</si>
  <si>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</si>
  <si>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</si>
  <si>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</si>
  <si>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</si>
  <si>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</si>
  <si>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</si>
  <si>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</si>
  <si>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</si>
  <si>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</si>
  <si>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</si>
  <si>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</si>
  <si>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</si>
  <si>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</si>
  <si>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</si>
  <si>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</si>
  <si>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</si>
  <si>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</si>
  <si>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</si>
  <si>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</si>
  <si>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</si>
  <si>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</si>
  <si>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</si>
  <si>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</si>
  <si>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</si>
  <si>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</si>
  <si>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</si>
  <si>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</si>
  <si>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</si>
  <si>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</si>
  <si>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</si>
  <si>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</si>
  <si>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</si>
  <si>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</si>
  <si>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</si>
  <si>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</si>
  <si>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</si>
  <si>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</si>
  <si>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</si>
  <si>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</si>
  <si>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</si>
  <si>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</si>
  <si>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</si>
  <si>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</si>
  <si>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</si>
  <si>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</si>
  <si>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</si>
  <si>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</si>
  <si>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</si>
  <si>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</si>
  <si>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</si>
  <si>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</si>
  <si>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</si>
  <si>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</si>
  <si>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</si>
  <si>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</si>
  <si>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</si>
  <si>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</si>
  <si>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</si>
  <si>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</si>
  <si>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</si>
  <si>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</si>
  <si>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</si>
  <si>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</si>
  <si>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</si>
  <si>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</si>
  <si>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</si>
  <si>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</si>
  <si>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</si>
  <si>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</si>
  <si>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</si>
  <si>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</si>
  <si>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</si>
  <si>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</si>
  <si>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</si>
  <si>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</si>
  <si>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</si>
  <si>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</si>
  <si>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</si>
  <si>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</si>
  <si>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</si>
  <si>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</si>
  <si>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</si>
  <si>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</si>
  <si>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</si>
  <si>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</si>
  <si>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</si>
  <si>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</si>
  <si>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</si>
  <si>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</si>
  <si>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</si>
  <si>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</si>
  <si>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</si>
  <si>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</si>
  <si>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</si>
  <si>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</si>
  <si>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</si>
  <si>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</si>
  <si>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</si>
  <si>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</si>
  <si>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</si>
  <si>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</si>
  <si>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</si>
  <si>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</si>
  <si>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</si>
  <si>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</si>
  <si>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</si>
  <si>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</si>
  <si>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</si>
  <si>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</si>
  <si>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</si>
  <si>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</si>
  <si>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</si>
  <si>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</si>
  <si>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</si>
  <si>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</si>
  <si>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</si>
  <si>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</si>
  <si>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</si>
  <si>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</si>
  <si>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</si>
  <si>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</si>
  <si>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</si>
  <si>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</si>
  <si>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</si>
  <si>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</si>
  <si>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</si>
  <si>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</si>
  <si>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</si>
  <si>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</si>
  <si>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</si>
  <si>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</si>
  <si>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</si>
  <si>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</si>
  <si>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</si>
  <si>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</si>
  <si>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</si>
  <si>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</si>
  <si>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</si>
  <si>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</si>
  <si>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</si>
  <si>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</si>
  <si>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</si>
  <si>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</si>
  <si>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</si>
  <si>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</si>
  <si>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</si>
  <si>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</si>
  <si>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</si>
  <si>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</si>
  <si>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</si>
  <si>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</si>
  <si>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</si>
  <si>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</si>
  <si>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</si>
  <si>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</si>
  <si>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</si>
  <si>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</si>
  <si>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</si>
  <si>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</si>
  <si>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</si>
  <si>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</si>
  <si>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</si>
  <si>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</si>
  <si>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</si>
  <si>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</si>
  <si>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</si>
  <si>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</si>
  <si>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</si>
  <si>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</si>
  <si>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</si>
  <si>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</si>
  <si>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</si>
  <si>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</si>
  <si>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</si>
  <si>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</si>
  <si>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</si>
  <si>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</si>
  <si>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</si>
  <si>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</si>
  <si>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</si>
  <si>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</si>
  <si>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</si>
  <si>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</si>
  <si>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</si>
  <si>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</si>
  <si>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</si>
  <si>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</si>
  <si>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</si>
  <si>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</si>
  <si>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</si>
  <si>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</si>
  <si>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</si>
  <si>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</si>
  <si>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</si>
  <si>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</si>
  <si>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</si>
  <si>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</si>
  <si>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</si>
  <si>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</si>
  <si>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</si>
  <si>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</si>
  <si>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</si>
  <si>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</si>
  <si>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</si>
  <si>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</si>
  <si>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</si>
  <si>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</si>
  <si>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</si>
  <si>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</si>
  <si>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</si>
  <si>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</si>
  <si>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</si>
  <si>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</si>
  <si>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</si>
  <si>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</si>
  <si>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</si>
  <si>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</si>
  <si>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</si>
  <si>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</si>
  <si>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</si>
  <si>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</si>
  <si>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</si>
  <si>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</si>
  <si>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</si>
  <si>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</si>
  <si>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</si>
  <si>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</si>
  <si>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</si>
  <si>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</si>
  <si>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</si>
  <si>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</si>
  <si>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</si>
  <si>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</si>
  <si>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</si>
  <si>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</si>
  <si>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</si>
  <si>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</si>
  <si>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</si>
  <si>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</si>
  <si>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</si>
  <si>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</si>
  <si>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</si>
  <si>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</si>
  <si>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</si>
  <si>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</si>
  <si>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</si>
  <si>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</si>
  <si>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</si>
  <si>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</si>
  <si>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</si>
  <si>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</si>
  <si>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</si>
  <si>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</si>
  <si>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</si>
  <si>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</si>
  <si>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</si>
  <si>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</si>
  <si>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</si>
  <si>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</si>
  <si>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</si>
  <si>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</si>
  <si>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</si>
  <si>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</si>
  <si>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</si>
  <si>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</si>
  <si>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</si>
  <si>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</si>
  <si>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</si>
  <si>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</si>
  <si>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</si>
  <si>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</si>
  <si>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</si>
  <si>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</si>
  <si>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</si>
  <si>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</si>
  <si>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</si>
  <si>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</si>
  <si>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</si>
  <si>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</si>
  <si>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</si>
  <si>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</si>
  <si>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</si>
  <si>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</si>
  <si>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</si>
  <si>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</si>
  <si>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</si>
  <si>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</si>
  <si>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</si>
  <si>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</si>
  <si>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</si>
  <si>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</si>
  <si>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</si>
  <si>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</si>
  <si>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</si>
  <si>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</si>
  <si>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</si>
  <si>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</si>
  <si>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</si>
  <si>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</si>
  <si>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</si>
  <si>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</si>
  <si>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</si>
  <si>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</si>
  <si>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</si>
  <si>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</si>
  <si>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</si>
  <si>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</si>
  <si>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</si>
  <si>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</si>
  <si>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</si>
  <si>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</si>
  <si>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</si>
  <si>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</si>
  <si>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</si>
  <si>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</si>
  <si>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</si>
  <si>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</si>
  <si>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</si>
  <si>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</si>
  <si>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</si>
  <si>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</si>
  <si>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</si>
  <si>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</si>
  <si>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</si>
  <si>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</si>
  <si>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</si>
  <si>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</si>
  <si>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</si>
  <si>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</si>
  <si>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</si>
  <si>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</si>
  <si>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</si>
  <si>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</si>
  <si>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</si>
  <si>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</si>
  <si>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</si>
  <si>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</si>
  <si>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</si>
  <si>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</si>
  <si>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</si>
  <si>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</si>
  <si>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</si>
  <si>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</si>
  <si>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</si>
  <si>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</si>
  <si>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</si>
  <si>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</si>
  <si>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</si>
  <si>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</si>
  <si>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</si>
  <si>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</si>
  <si>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</si>
  <si>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</si>
  <si>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</si>
  <si>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</si>
  <si>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</si>
  <si>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</si>
  <si>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</si>
  <si>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</si>
  <si>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</si>
  <si>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</si>
  <si>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</si>
  <si>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</si>
  <si>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</si>
  <si>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</si>
  <si>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</si>
  <si>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</si>
  <si>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</si>
  <si>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</si>
  <si>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</si>
  <si>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</si>
  <si>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</si>
  <si>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</si>
  <si>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</si>
  <si>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</si>
  <si>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</si>
  <si>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</si>
  <si>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</si>
  <si>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</si>
  <si>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</si>
  <si>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</si>
  <si>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</si>
  <si>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</si>
  <si>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</si>
  <si>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</si>
  <si>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</si>
  <si>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</si>
  <si>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</si>
  <si>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</si>
  <si>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</si>
  <si>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</si>
  <si>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</si>
  <si>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</si>
  <si>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</si>
  <si>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</si>
  <si>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</si>
  <si>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</si>
  <si>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</si>
  <si>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</si>
  <si>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</si>
  <si>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</si>
  <si>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</si>
  <si>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</si>
  <si>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</si>
  <si>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</si>
  <si>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</si>
  <si>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</si>
  <si>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</si>
  <si>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</si>
  <si>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</si>
  <si>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</si>
  <si>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</si>
  <si>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</si>
  <si>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</si>
  <si>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</si>
  <si>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</si>
  <si>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</si>
  <si>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</si>
  <si>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</si>
  <si>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</si>
  <si>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</si>
  <si>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</si>
  <si>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</si>
  <si>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</si>
  <si>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</si>
  <si>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</si>
  <si>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</si>
  <si>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</si>
  <si>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</si>
  <si>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</si>
  <si>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</si>
  <si>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</si>
  <si>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</si>
  <si>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</si>
  <si>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</si>
  <si>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</si>
  <si>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</si>
  <si>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</si>
  <si>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</si>
  <si>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</si>
  <si>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</si>
  <si>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</si>
  <si>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</si>
  <si>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</si>
  <si>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</si>
  <si>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</si>
  <si>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</si>
  <si>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</si>
  <si>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</si>
  <si>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</si>
  <si>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</si>
  <si>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</si>
  <si>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</si>
  <si>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</si>
  <si>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</si>
  <si>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</si>
  <si>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</si>
  <si>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</si>
  <si>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</si>
  <si>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</si>
  <si>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</si>
  <si>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</si>
  <si>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</si>
  <si>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</si>
  <si>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</si>
  <si>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</si>
  <si>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</si>
  <si>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</si>
  <si>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</si>
  <si>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</si>
  <si>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</si>
  <si>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</si>
  <si>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</si>
  <si>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</si>
  <si>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</si>
  <si>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</si>
  <si>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</si>
  <si>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</si>
  <si>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</si>
  <si>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</si>
  <si>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</si>
  <si>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</si>
  <si>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</si>
  <si>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</si>
  <si>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</si>
  <si>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</si>
  <si>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</si>
  <si>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</si>
  <si>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</si>
  <si>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</si>
  <si>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</si>
  <si>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</si>
  <si>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</si>
  <si>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</si>
  <si>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</si>
  <si>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</si>
  <si>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</si>
  <si>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</si>
  <si>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</si>
  <si>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</si>
  <si>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</si>
  <si>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</si>
  <si>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</si>
  <si>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</si>
  <si>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</si>
  <si>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</si>
  <si>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</si>
  <si>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</si>
  <si>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</si>
  <si>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</si>
  <si>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</si>
  <si>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</si>
  <si>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</si>
  <si>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</si>
  <si>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</si>
  <si>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</si>
  <si>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</si>
  <si>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</si>
  <si>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</si>
  <si>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</si>
  <si>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</si>
  <si>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</si>
  <si>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</si>
  <si>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</si>
  <si>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</si>
  <si>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</si>
  <si>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</si>
  <si>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</si>
  <si>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</si>
  <si>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</si>
  <si>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</si>
  <si>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</si>
  <si>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</si>
  <si>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</si>
  <si>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</si>
  <si>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</si>
  <si>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</si>
  <si>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</si>
  <si>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</si>
  <si>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</si>
  <si>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</si>
  <si>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</si>
  <si>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</si>
  <si>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</si>
  <si>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</si>
  <si>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</si>
  <si>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</si>
  <si>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</si>
  <si>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</si>
  <si>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</si>
  <si>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</si>
  <si>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</si>
  <si>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</si>
  <si>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</si>
  <si>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</si>
  <si>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</si>
  <si>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</si>
  <si>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</si>
  <si>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</si>
  <si>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</si>
  <si>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</si>
  <si>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</si>
  <si>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</si>
  <si>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</si>
  <si>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</si>
  <si>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</si>
  <si>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</si>
  <si>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</si>
  <si>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</si>
  <si>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</si>
  <si>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</si>
  <si>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</si>
  <si>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</si>
  <si>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</si>
  <si>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</si>
  <si>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</si>
  <si>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</si>
  <si>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</si>
  <si>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</si>
  <si>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</si>
  <si>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</si>
  <si>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</si>
  <si>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</si>
  <si>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</si>
  <si>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</si>
  <si>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</si>
  <si>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</si>
  <si>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</si>
  <si>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</si>
  <si>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</si>
  <si>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</si>
  <si>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</si>
  <si>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</si>
  <si>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</si>
  <si>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</si>
  <si>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</si>
  <si>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</si>
  <si>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</si>
  <si>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</si>
  <si>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</si>
  <si>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</si>
  <si>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</si>
  <si>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</si>
  <si>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</si>
  <si>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</si>
  <si>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</si>
  <si>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</si>
  <si>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</si>
  <si>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</si>
  <si>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</si>
  <si>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</si>
  <si>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</si>
  <si>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</si>
  <si>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</si>
  <si>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</si>
  <si>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</si>
  <si>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</si>
  <si>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</si>
  <si>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</si>
  <si>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</si>
  <si>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</si>
  <si>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</si>
  <si>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</si>
  <si>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</si>
  <si>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</si>
  <si>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</si>
  <si>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</si>
  <si>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</si>
  <si>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</si>
  <si>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</si>
  <si>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</si>
  <si>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</si>
  <si>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</si>
  <si>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</si>
  <si>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</si>
  <si>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</si>
  <si>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</si>
  <si>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</si>
  <si>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</si>
  <si>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</si>
  <si>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</si>
  <si>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</si>
  <si>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</si>
  <si>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</si>
  <si>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</si>
  <si>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</si>
  <si>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</si>
  <si>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</si>
  <si>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</si>
  <si>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</si>
  <si>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</si>
  <si>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</si>
  <si>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</si>
  <si>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</si>
  <si>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</si>
  <si>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</si>
  <si>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</si>
  <si>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</si>
  <si>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</si>
  <si>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</si>
  <si>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</si>
  <si>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</si>
  <si>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</si>
  <si>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</si>
  <si>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</si>
  <si>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</si>
  <si>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</si>
  <si>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</si>
  <si>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</si>
  <si>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</si>
  <si>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</si>
  <si>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</si>
  <si>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</si>
  <si>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</si>
  <si>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</si>
  <si>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</si>
  <si>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</si>
  <si>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Maisons Sierra Phase 1, LP</t>
  </si>
  <si>
    <t>Maison's Sierra</t>
  </si>
  <si>
    <t>City of Lancaster Redevelopment Agency</t>
  </si>
  <si>
    <t>Elizabeth Brubacker</t>
  </si>
  <si>
    <t>44933 Fern Avenue</t>
  </si>
  <si>
    <t>Lancaster</t>
  </si>
  <si>
    <t>661-723-5878</t>
  </si>
  <si>
    <t>661-723-6210</t>
  </si>
  <si>
    <t>ebrubaker@colra.org</t>
  </si>
  <si>
    <t>45635 Sierra Highway</t>
  </si>
  <si>
    <t>Plot SE of Intersection of Ave H4 and Fig Ave</t>
  </si>
  <si>
    <t>Low Resource</t>
  </si>
  <si>
    <t>$500M</t>
  </si>
  <si>
    <t>40%/60% Average Income</t>
  </si>
  <si>
    <t>2007 Cedar Avenue</t>
  </si>
  <si>
    <t>Manhattan Beach</t>
  </si>
  <si>
    <t>CA</t>
  </si>
  <si>
    <t>Matt Avital</t>
  </si>
  <si>
    <t>310-295-1755</t>
  </si>
  <si>
    <t>matt@ascendacap.com</t>
  </si>
  <si>
    <t>Ravello Holdings, Inc.</t>
  </si>
  <si>
    <t>Limited Liability Company</t>
  </si>
  <si>
    <t>Ravello MODs Sierra Phase 1, LLC</t>
  </si>
  <si>
    <t>Administrative GP</t>
  </si>
  <si>
    <t>Phil Ram</t>
  </si>
  <si>
    <t>310-979-3210</t>
  </si>
  <si>
    <t>Phil@ravelloholdings.com</t>
  </si>
  <si>
    <t>AHA High Desert MGP, LLC</t>
  </si>
  <si>
    <t>Managing GP</t>
  </si>
  <si>
    <t>3920 Birch Street, Suite 103</t>
  </si>
  <si>
    <t>Newport Beach</t>
  </si>
  <si>
    <t>Hilda Jusuf</t>
  </si>
  <si>
    <t>949-253-3120</t>
  </si>
  <si>
    <t>949-253-3125</t>
  </si>
  <si>
    <t>hjusuf@ahaccess.org</t>
  </si>
  <si>
    <t>Affordable Housing Access, Inc.</t>
  </si>
  <si>
    <t>Ascenda Capital</t>
  </si>
  <si>
    <t>9242 Beverly Blvd, Suite 300</t>
  </si>
  <si>
    <t>Beverly Hills</t>
  </si>
  <si>
    <t>Consultant</t>
  </si>
  <si>
    <t xml:space="preserve">Ravello Holdings, Inc. </t>
  </si>
  <si>
    <t>Manhattan Beach, CA 90266</t>
  </si>
  <si>
    <t>pram@ravelloholdings.com</t>
  </si>
  <si>
    <t>Cox Castle &amp; Nicholson</t>
  </si>
  <si>
    <t>50 California Street, Suite 3200</t>
  </si>
  <si>
    <t>San Francisco, CA 94111</t>
  </si>
  <si>
    <t>Ofer Elitzur</t>
  </si>
  <si>
    <t>415-262-5165</t>
  </si>
  <si>
    <t>oelitzur@coxcastle.com</t>
  </si>
  <si>
    <t>Novogradac &amp; Company LLP</t>
  </si>
  <si>
    <t>PO Box 7833</t>
  </si>
  <si>
    <t>San Francisco, CA 94120-7833</t>
  </si>
  <si>
    <t>Melissa Chung</t>
  </si>
  <si>
    <t>415-356-7906</t>
  </si>
  <si>
    <t>415-356-8001</t>
  </si>
  <si>
    <t>melissa.chung@novoco.com</t>
  </si>
  <si>
    <t>9242 Beverly Blvd., Sutie 300</t>
  </si>
  <si>
    <t>Beverly Hills, CA 90210</t>
  </si>
  <si>
    <t>CalHFA</t>
  </si>
  <si>
    <t>500 Capitol Mall, Suite 1400</t>
  </si>
  <si>
    <t>Sacramento, CA 95814</t>
  </si>
  <si>
    <t>Kevin Brown</t>
  </si>
  <si>
    <t>917-326-8808</t>
  </si>
  <si>
    <t>kbrown@calhfa.ca.gov</t>
  </si>
  <si>
    <t>Bassenian Lagoni</t>
  </si>
  <si>
    <t>2031 Orchard Drive</t>
  </si>
  <si>
    <t>Newport Beach, CA 92660</t>
  </si>
  <si>
    <t>Mark Kiner</t>
  </si>
  <si>
    <t>949-553-9100</t>
  </si>
  <si>
    <t>mkiner@bassenianlagoni.com</t>
  </si>
  <si>
    <t>Ravello West Construction</t>
  </si>
  <si>
    <t>WNC</t>
  </si>
  <si>
    <t>17782 Sky Park Circle</t>
  </si>
  <si>
    <t>Irvine, California 92614-6404</t>
  </si>
  <si>
    <t>Jesscia Captanis</t>
  </si>
  <si>
    <t>949-439-2616</t>
  </si>
  <si>
    <t>Jcaptanis@wncinc.com</t>
  </si>
  <si>
    <t>6700 Antioch Road, Suite 450</t>
  </si>
  <si>
    <t>Merriam, KS 66204</t>
  </si>
  <si>
    <t>Rebecca Arthur</t>
  </si>
  <si>
    <t>913-677-4600</t>
  </si>
  <si>
    <t>rebecca.arthur@novoco.com</t>
  </si>
  <si>
    <t>Aperto Property Management, Inc.</t>
  </si>
  <si>
    <t>23461 South Pointe Dr., Suite 180</t>
  </si>
  <si>
    <t>Laguna Hills, CA 92653</t>
  </si>
  <si>
    <t>Ed Quigley</t>
  </si>
  <si>
    <t>949-873-0160</t>
  </si>
  <si>
    <t>equigley@apertopm.com</t>
  </si>
  <si>
    <t>City of Lancaster Housing Authority</t>
  </si>
  <si>
    <t>Jason Caudle</t>
  </si>
  <si>
    <t>Executive Director</t>
  </si>
  <si>
    <t>44933 Fern Ave</t>
  </si>
  <si>
    <t>Lancaster, CA 93534</t>
  </si>
  <si>
    <t>661-723-6000</t>
  </si>
  <si>
    <t>Single Family Home</t>
  </si>
  <si>
    <t>no special population</t>
  </si>
  <si>
    <t>Moderate Density Residential</t>
  </si>
  <si>
    <t>MDR - 6.6 - 15 DU/Acre</t>
  </si>
  <si>
    <t>35' for primary building</t>
  </si>
  <si>
    <t>One parking within enclosed garage, one driveway parking, 1/2 space guest parking per unit</t>
  </si>
  <si>
    <t>Tax-Exempt Bonds</t>
  </si>
  <si>
    <t>Variable</t>
  </si>
  <si>
    <t>Recycled Bonds</t>
  </si>
  <si>
    <t>LIHTC Equity</t>
  </si>
  <si>
    <t>Equity Bridge Loan</t>
  </si>
  <si>
    <t>Deferred costs</t>
  </si>
  <si>
    <t>255 Kellogg Blvd., E, Suite 103</t>
  </si>
  <si>
    <t>St. Paul, MN 55101</t>
  </si>
  <si>
    <t>Marsha Goff</t>
  </si>
  <si>
    <t>651-299-0820</t>
  </si>
  <si>
    <t>SOFR</t>
  </si>
  <si>
    <t>Jessica Captanis</t>
  </si>
  <si>
    <t>Tax Credit Equity</t>
  </si>
  <si>
    <t>Bridge Loan</t>
  </si>
  <si>
    <t>Deferred Costs</t>
  </si>
  <si>
    <t>MIP Loan</t>
  </si>
  <si>
    <t>916-326-8808</t>
  </si>
  <si>
    <t>CalHFA MIP Loan</t>
  </si>
  <si>
    <t>Trash/AC</t>
  </si>
  <si>
    <t>Los Angeles County Development Authority</t>
  </si>
  <si>
    <t>G&amp;A</t>
  </si>
  <si>
    <t>Payroll Taxes/Benefits/Bonuses</t>
  </si>
  <si>
    <t>Turnover + Contracts</t>
  </si>
  <si>
    <t>Other: (P&amp;P Bond)</t>
  </si>
  <si>
    <t>Other: (Construction Monitoring)</t>
  </si>
  <si>
    <t>Other: (Bond Fees)</t>
  </si>
  <si>
    <t>Other: (Developer Legal)</t>
  </si>
  <si>
    <t>Other: (Other Soft Costs)</t>
  </si>
  <si>
    <t>AHA High Desert MGP, LLC (owned by Affordable Housing Access, Inc.)</t>
  </si>
  <si>
    <t>LifeSTEPS</t>
  </si>
  <si>
    <t>minimum of 84 hours of instructor-led adult educational, health and wellness,  or skill building classes</t>
  </si>
  <si>
    <t>and minimum of 257 hours of health and wellness services and programs</t>
  </si>
  <si>
    <t>N/A - not related parties</t>
  </si>
  <si>
    <t>Green features :
Solar 
Low Flow Toilets and plumbing fixtures
MWELO landscape design
EV charging Circuit future
LED Lighting
Energy Star Exhaust Fans/ventilation
Electric Tier 3 heat pump tanked water heater
No Green Certifications anticipated.</t>
  </si>
  <si>
    <t>Standard Form of Agreement Between Owner and Contractor (AIA 101) dated 1/21/2021</t>
  </si>
  <si>
    <t>The GC Agreement will be based on an AIA 101-2017 Form (Standard Form of Agreement Between Owner and Contractor
where the basis of payment is a Stipulated Sum) and will cover:
•	Contract Sum
•	Substantial Completion Date
•	GC Fee
•	Reference to plan sets on which contract is based</t>
  </si>
  <si>
    <t>84 (15 in CA)</t>
  </si>
  <si>
    <t>Geotechnical Report</t>
  </si>
  <si>
    <t>Phase I Report</t>
  </si>
  <si>
    <t>No environmental issues</t>
  </si>
  <si>
    <t>Dilip K. Ram</t>
  </si>
  <si>
    <t>President</t>
  </si>
  <si>
    <t>Bulk Cable/Wifi Charge, Solar Panel Electric Generation Charges</t>
  </si>
  <si>
    <t>YEAR 16</t>
  </si>
  <si>
    <t>YEAR 17</t>
  </si>
  <si>
    <t>YEAR 18</t>
  </si>
  <si>
    <t>YEAR 19</t>
  </si>
  <si>
    <t>YEAR 20</t>
  </si>
  <si>
    <t>YEAR 21</t>
  </si>
  <si>
    <t>YEAR 22</t>
  </si>
  <si>
    <t>YEAR 23</t>
  </si>
  <si>
    <t>YEAR 24</t>
  </si>
  <si>
    <t>YEAR 25</t>
  </si>
  <si>
    <t>YEAR 26</t>
  </si>
  <si>
    <t>YEAR 27</t>
  </si>
  <si>
    <t>YEAR 28</t>
  </si>
  <si>
    <t>YEAR 29</t>
  </si>
  <si>
    <t>YEAR 30</t>
  </si>
  <si>
    <t>Provided</t>
  </si>
  <si>
    <t>Not Applicable</t>
  </si>
  <si>
    <t>3135-001-904 through 3135-001-906, a portion of 3135-001-907, 3135-001-909, a portion of 3135-001-911, 3135-001-912 to 3135-001-917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</si>
</sst>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name val="Arial"/>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55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3" xfId="0" applyFont="1" applyBorder="1" applyAlignment="1">
      <alignment horizontal="center"/>
    </xf>
    <xf numFmtId="0" fontId="13" fillId="0" borderId="5" xfId="0" applyFont="1" applyBorder="1" applyAlignment="1">
      <alignment horizontal="center"/>
    </xf>
    <xf numFmtId="0" fontId="13" fillId="0" borderId="4" xfId="0" applyFont="1" applyBorder="1" applyAlignment="1">
      <alignment horizontal="center"/>
    </xf>
    <xf numFmtId="3" fontId="22" fillId="0" borderId="0" xfId="0" applyNumberFormat="1" applyFont="1" applyAlignment="1">
      <alignment horizontal="left" vertical="top" wrapText="1"/>
    </xf>
    <xf numFmtId="166" fontId="13" fillId="0" borderId="0" xfId="0" applyNumberFormat="1" applyFont="1" applyAlignment="1">
      <alignment horizontal="left"/>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11" xfId="0" applyFon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4" xfId="0" applyFont="1"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0" fontId="22" fillId="5" borderId="6" xfId="0"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3" fillId="5" borderId="4" xfId="0" quotePrefix="1" applyNumberFormat="1" applyFont="1" applyFill="1" applyBorder="1" applyAlignment="1" applyProtection="1">
      <alignment horizontal="right"/>
      <protection locked="0"/>
    </xf>
    <xf numFmtId="178" fontId="13"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1"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Border="1" applyAlignment="1">
      <alignment horizontal="left" vertical="top"/>
    </xf>
    <xf numFmtId="3" fontId="22"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4" xfId="0" applyFont="1" applyBorder="1" applyAlignment="1">
      <alignment horizontal="center"/>
    </xf>
    <xf numFmtId="0" fontId="13" fillId="0" borderId="11" xfId="543" applyBorder="1" applyAlignment="1">
      <alignment horizontal="center"/>
    </xf>
    <xf numFmtId="0" fontId="0" fillId="0" borderId="6" xfId="0" applyBorder="1" applyAlignment="1">
      <alignment horizontal="left"/>
    </xf>
    <xf numFmtId="0" fontId="20" fillId="0" borderId="11"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166" fontId="13" fillId="5" borderId="6" xfId="1192" applyNumberForma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13" fillId="0" borderId="0" xfId="0" applyFont="1" applyAlignment="1">
      <alignment horizontal="center"/>
    </xf>
    <xf numFmtId="0" fontId="22" fillId="0" borderId="0" xfId="0" applyFont="1" applyAlignment="1">
      <alignment horizontal="center"/>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22" fillId="5" borderId="4" xfId="271" applyNumberFormat="1" applyFill="1" applyBorder="1" applyAlignment="1" applyProtection="1">
      <alignment horizontal="left"/>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0" fontId="0" fillId="0" borderId="6" xfId="0" applyBorder="1" applyAlignment="1" applyProtection="1">
      <alignment horizontal="center"/>
      <protection locked="0"/>
    </xf>
    <xf numFmtId="0" fontId="22" fillId="5" borderId="6" xfId="271" applyFill="1" applyBorder="1" applyProtection="1">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2" fillId="0" borderId="11" xfId="0" applyFont="1" applyBorder="1" applyAlignment="1">
      <alignment horizontal="center"/>
    </xf>
    <xf numFmtId="9" fontId="13" fillId="0" borderId="0" xfId="543" applyNumberFormat="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9" xfId="0" applyBorder="1" applyAlignment="1">
      <alignment horizontal="lef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0" borderId="11" xfId="0" applyNumberFormat="1" applyBorder="1"/>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171" fontId="13" fillId="0" borderId="0" xfId="543" applyNumberFormat="1" applyAlignment="1">
      <alignment horizontal="center"/>
    </xf>
    <xf numFmtId="168" fontId="0" fillId="0" borderId="11" xfId="0" applyNumberFormat="1" applyBorder="1" applyAlignment="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5" fontId="22" fillId="0" borderId="3" xfId="0" applyNumberFormat="1" applyFont="1" applyBorder="1" applyAlignment="1">
      <alignment horizontal="right"/>
    </xf>
    <xf numFmtId="165" fontId="22" fillId="0" borderId="4" xfId="0" applyNumberFormat="1" applyFont="1" applyBorder="1" applyAlignment="1">
      <alignment horizontal="right"/>
    </xf>
    <xf numFmtId="165" fontId="22" fillId="0" borderId="5" xfId="0" applyNumberFormat="1" applyFont="1" applyBorder="1" applyAlignment="1">
      <alignment horizontal="right"/>
    </xf>
    <xf numFmtId="0" fontId="13" fillId="0" borderId="1" xfId="0" applyFont="1" applyBorder="1" applyAlignment="1">
      <alignment horizontal="center" vertical="top" wrapText="1"/>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2" borderId="11" xfId="0" applyFont="1" applyFill="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8" fontId="13" fillId="0" borderId="11" xfId="543" applyNumberFormat="1" applyBorder="1" applyAlignment="1">
      <alignment horizontal="center"/>
    </xf>
    <xf numFmtId="3" fontId="41"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13" fillId="5" borderId="4"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9" fillId="3" borderId="0" xfId="0" applyFont="1" applyFill="1" applyAlignment="1">
      <alignment horizontal="center" vertical="center"/>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9" fontId="13" fillId="5" borderId="3" xfId="0" applyNumberFormat="1" applyFon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2" fillId="0" borderId="3" xfId="0" applyFont="1" applyBorder="1" applyAlignment="1">
      <alignment horizontal="left"/>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4"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11" xfId="0" applyFont="1" applyFill="1" applyBorder="1" applyAlignment="1" applyProtection="1">
      <alignment horizontal="left" wrapText="1"/>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0" fontId="95" fillId="0" borderId="11" xfId="4496" applyFont="1" applyBorder="1"/>
    <xf numFmtId="0" fontId="95" fillId="0" borderId="92" xfId="4496" applyFont="1" applyBorder="1"/>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wrapText="1"/>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81"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2">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T:\CLIENTS\R\RAV200%20Ravello%20Holdings,%20Inc\Apps\Maison's%20Sierra\Bond%20Application\1%20-%20E-Application%20-%20Maison's%20Sierra%20UPDATED%205.10.2023.xlsx" TargetMode="External"/><Relationship Id="rId1" Type="http://schemas.openxmlformats.org/officeDocument/2006/relationships/externalLinkPath" Target="1%20-%20E-Application%20-%20Maison's%20Sierra%20UPDATED%205.1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row r="1">
          <cell r="AS1">
            <v>4</v>
          </cell>
        </row>
        <row r="390">
          <cell r="Q390">
            <v>2466680</v>
          </cell>
        </row>
        <row r="550">
          <cell r="AM550">
            <v>35000000</v>
          </cell>
        </row>
        <row r="551">
          <cell r="AM551">
            <v>5900000</v>
          </cell>
        </row>
        <row r="552">
          <cell r="AM552">
            <v>14725000</v>
          </cell>
        </row>
        <row r="553">
          <cell r="AM553">
            <v>10300000</v>
          </cell>
        </row>
        <row r="625">
          <cell r="AO625">
            <v>4659545</v>
          </cell>
        </row>
        <row r="870">
          <cell r="AC870">
            <v>751974</v>
          </cell>
        </row>
      </sheetData>
      <sheetData sheetId="5">
        <row r="4">
          <cell r="B4">
            <v>2466680</v>
          </cell>
        </row>
        <row r="99">
          <cell r="E99">
            <v>2840455</v>
          </cell>
        </row>
        <row r="105">
          <cell r="B105">
            <v>72409545</v>
          </cell>
        </row>
      </sheetData>
      <sheetData sheetId="6"/>
      <sheetData sheetId="7">
        <row r="13">
          <cell r="B13" t="str">
            <v>N/A</v>
          </cell>
        </row>
      </sheetData>
      <sheetData sheetId="8"/>
      <sheetData sheetId="9">
        <row r="160">
          <cell r="AY160">
            <v>600000</v>
          </cell>
        </row>
      </sheetData>
      <sheetData sheetId="10">
        <row r="49">
          <cell r="AB49">
            <v>39200000</v>
          </cell>
        </row>
      </sheetData>
      <sheetData sheetId="11"/>
      <sheetData sheetId="12">
        <row r="27">
          <cell r="E27">
            <v>33000</v>
          </cell>
        </row>
        <row r="62">
          <cell r="E62">
            <v>135226</v>
          </cell>
          <cell r="G62">
            <v>158328.74749999982</v>
          </cell>
          <cell r="I62">
            <v>181818.39803749975</v>
          </cell>
          <cell r="K62">
            <v>205697.95089068729</v>
          </cell>
          <cell r="M62">
            <v>229970.24675428309</v>
          </cell>
          <cell r="O62">
            <v>254637.9556001653</v>
          </cell>
          <cell r="Q62">
            <v>279703.56394839054</v>
          </cell>
          <cell r="S62">
            <v>305169.36152385874</v>
          </cell>
          <cell r="U62">
            <v>662074.85454580141</v>
          </cell>
          <cell r="W62">
            <v>714619.22942610225</v>
          </cell>
          <cell r="Y62">
            <v>767975.07317649527</v>
          </cell>
        </row>
      </sheetData>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2" t="s">
        <v>560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2429</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2430</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2619</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2431</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2618</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2432</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3" t="s">
        <v>2614</v>
      </c>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218"/>
    </row>
    <row r="34" spans="1:38">
      <c r="A34" s="4"/>
      <c r="C34" s="2"/>
    </row>
    <row r="35" spans="1:38">
      <c r="A35" s="4"/>
      <c r="D35" s="1274" t="s">
        <v>2610</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69" t="s">
        <v>2439</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2440</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663</v>
      </c>
      <c r="F42" s="1262" t="s">
        <v>1308</v>
      </c>
    </row>
    <row r="43" spans="1:38" s="1262"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8" t="s">
        <v>1403</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698</v>
      </c>
      <c r="G48" s="3" t="s">
        <v>2433</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2434</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7" t="s">
        <v>1335</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7" t="s">
        <v>585</v>
      </c>
      <c r="H58" s="1267"/>
      <c r="I58" s="126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7" t="s">
        <v>2435</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5" t="s">
        <v>1316</v>
      </c>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row>
    <row r="92" spans="1:37">
      <c r="A92" s="4"/>
      <c r="C92" s="2"/>
      <c r="D92" s="4"/>
      <c r="E92" s="4"/>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66" t="s">
        <v>1319</v>
      </c>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row>
    <row r="101" spans="1:38">
      <c r="A101" s="4"/>
      <c r="D101" s="99"/>
      <c r="E101" s="1266"/>
      <c r="F101" s="1266"/>
      <c r="G101" s="1266"/>
      <c r="H101" s="1266"/>
      <c r="I101" s="1266"/>
      <c r="J101" s="1266"/>
      <c r="K101" s="1266"/>
      <c r="L101" s="1266"/>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2436</v>
      </c>
      <c r="F140" s="2"/>
      <c r="G140" s="2"/>
      <c r="H140" s="2"/>
    </row>
    <row r="141" spans="4:37">
      <c r="E141" t="s">
        <v>113</v>
      </c>
      <c r="F141" t="s">
        <v>52</v>
      </c>
    </row>
    <row r="142" spans="4:37">
      <c r="E142" t="s">
        <v>114</v>
      </c>
      <c r="F142" t="s">
        <v>476</v>
      </c>
    </row>
    <row r="143" spans="4:37"/>
    <row r="144" spans="4:37">
      <c r="D144" s="2" t="s">
        <v>431</v>
      </c>
      <c r="E144" s="2" t="s">
        <v>2437</v>
      </c>
    </row>
    <row r="145" spans="3:7">
      <c r="E145" s="218" t="s">
        <v>2438</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7" t="s">
        <v>1383</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70" t="s">
        <v>1374</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1" customFormat="1">
      <c r="A369"/>
      <c r="B369" s="2"/>
      <c r="C369"/>
      <c r="D369"/>
      <c r="E369" s="1268" t="s">
        <v>1417</v>
      </c>
    </row>
    <row r="370" spans="1:37" s="1271"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1429</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F71" sqref="AF71:AU71"/>
    </sheetView>
  </sheetViews>
  <sheetFormatPr defaultColWidth="2.7109375" defaultRowHeight="15.75" customHeight="1"/>
  <cols>
    <col min="1" max="37" width="2.7109375" style="1201"/>
    <col min="38" max="38" width="3" style="1201" customWidth="1"/>
    <col min="39" max="64" width="2.7109375" style="1201"/>
    <col min="65" max="65" width="10.42578125" style="1201" hidden="1" customWidth="1"/>
    <col min="66" max="70" width="5.5703125" style="1201" bestFit="1" customWidth="1"/>
    <col min="71" max="71" width="6.140625" style="1201" bestFit="1" customWidth="1"/>
    <col min="72" max="76" width="5.5703125" style="1201" bestFit="1" customWidth="1"/>
    <col min="77" max="77" width="6.140625" style="1201" bestFit="1" customWidth="1"/>
    <col min="78" max="78" width="5.5703125" style="1201" bestFit="1" customWidth="1"/>
    <col min="79" max="16384" width="2.7109375" style="1201"/>
  </cols>
  <sheetData>
    <row r="1" spans="1:65" ht="15.75" customHeight="1">
      <c r="A1" s="2172" t="s">
        <v>2513</v>
      </c>
      <c r="B1" s="2173"/>
      <c r="C1" s="2173"/>
      <c r="D1" s="2173"/>
      <c r="E1" s="2173"/>
      <c r="F1" s="2173"/>
      <c r="G1" s="2173"/>
      <c r="H1" s="2173"/>
      <c r="I1" s="2173"/>
      <c r="J1" s="2173"/>
      <c r="K1" s="2173"/>
      <c r="L1" s="2173"/>
      <c r="M1" s="2173"/>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3"/>
      <c r="AM1" s="2173"/>
      <c r="AN1" s="2173"/>
      <c r="AO1" s="2173"/>
      <c r="AP1" s="2173"/>
      <c r="AQ1" s="2173"/>
      <c r="AR1" s="2173"/>
      <c r="AS1" s="2173"/>
      <c r="AT1" s="2173"/>
      <c r="AU1" s="2173"/>
      <c r="AV1" s="2173"/>
      <c r="AW1" s="2173"/>
      <c r="AX1" s="2173"/>
      <c r="AY1" s="2173"/>
      <c r="AZ1" s="2173"/>
      <c r="BA1" s="2173"/>
      <c r="BB1" s="2173"/>
      <c r="BC1" s="2173"/>
      <c r="BD1" s="2173"/>
      <c r="BE1" s="2174"/>
    </row>
    <row r="2" spans="1:65" ht="15.75" customHeight="1">
      <c r="A2" s="2175" t="s">
        <v>2561</v>
      </c>
      <c r="B2" s="2176"/>
      <c r="C2" s="2176"/>
      <c r="D2" s="2176"/>
      <c r="E2" s="2176"/>
      <c r="F2" s="2176"/>
      <c r="G2" s="2176"/>
      <c r="H2" s="2176"/>
      <c r="I2" s="2176"/>
      <c r="J2" s="2176"/>
      <c r="K2" s="2176"/>
      <c r="L2" s="2176"/>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6"/>
      <c r="BC2" s="2176"/>
      <c r="BD2" s="2176"/>
      <c r="BE2" s="2177"/>
      <c r="BF2" s="1202"/>
    </row>
    <row r="3" spans="1:65" ht="15.75" customHeight="1" thickBot="1">
      <c r="A3" s="1203"/>
      <c r="B3" s="1204"/>
      <c r="C3" s="1204"/>
      <c r="D3" s="1204"/>
      <c r="E3" s="1204"/>
      <c r="F3" s="1204"/>
      <c r="G3" s="1204"/>
      <c r="H3" s="1204"/>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5"/>
    </row>
    <row r="4" spans="1:65" ht="15.75" customHeight="1" thickBot="1">
      <c r="A4" s="1203"/>
      <c r="B4" s="1206" t="s">
        <v>666</v>
      </c>
      <c r="C4" s="1206"/>
      <c r="D4" s="1206"/>
      <c r="E4" s="1206"/>
      <c r="F4" s="1206"/>
      <c r="G4" s="1204"/>
      <c r="H4" s="1204"/>
      <c r="I4" s="1204"/>
      <c r="J4" s="1204"/>
      <c r="K4" s="1204"/>
      <c r="L4" s="2164" t="str">
        <f>IF(Application!H18="","",Application!H18)</f>
        <v>Maison's Sierra</v>
      </c>
      <c r="M4" s="2165"/>
      <c r="N4" s="2165"/>
      <c r="O4" s="2165"/>
      <c r="P4" s="2165"/>
      <c r="Q4" s="2165"/>
      <c r="R4" s="2165"/>
      <c r="S4" s="2165"/>
      <c r="T4" s="2165"/>
      <c r="U4" s="2165"/>
      <c r="V4" s="2165"/>
      <c r="W4" s="2165"/>
      <c r="X4" s="2165"/>
      <c r="Y4" s="2165"/>
      <c r="Z4" s="2165"/>
      <c r="AA4" s="2165"/>
      <c r="AB4" s="2165"/>
      <c r="AC4" s="2166"/>
      <c r="AD4" s="1204"/>
      <c r="AE4" s="1204"/>
      <c r="AF4" s="2178" t="s">
        <v>2562</v>
      </c>
      <c r="AG4" s="2178"/>
      <c r="AH4" s="2178"/>
      <c r="AI4" s="2178"/>
      <c r="AJ4" s="2178"/>
      <c r="AK4" s="2178"/>
      <c r="AL4" s="2178"/>
      <c r="AM4" s="2178"/>
      <c r="AN4" s="2178"/>
      <c r="AO4" s="2178"/>
      <c r="AP4" s="2179">
        <v>45108</v>
      </c>
      <c r="AQ4" s="2180"/>
      <c r="AR4" s="2180"/>
      <c r="AS4" s="2180"/>
      <c r="AT4" s="2180"/>
      <c r="AU4" s="2180"/>
      <c r="AV4" s="1204"/>
      <c r="AW4" s="1204"/>
      <c r="AX4" s="1204"/>
      <c r="AY4" s="1204"/>
      <c r="AZ4" s="1204"/>
      <c r="BA4" s="1204"/>
      <c r="BB4" s="1204"/>
      <c r="BC4" s="1204"/>
      <c r="BD4" s="1204"/>
      <c r="BE4" s="1205"/>
    </row>
    <row r="5" spans="1:65" ht="15.75" customHeight="1" thickBot="1">
      <c r="A5" s="1203"/>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2178" t="s">
        <v>2563</v>
      </c>
      <c r="AG5" s="2178"/>
      <c r="AH5" s="2178"/>
      <c r="AI5" s="2178"/>
      <c r="AJ5" s="2178"/>
      <c r="AK5" s="2178"/>
      <c r="AL5" s="2178"/>
      <c r="AM5" s="2178"/>
      <c r="AN5" s="2178"/>
      <c r="AO5" s="2178"/>
      <c r="AP5" s="2179">
        <v>45031</v>
      </c>
      <c r="AQ5" s="2180"/>
      <c r="AR5" s="2180"/>
      <c r="AS5" s="2180"/>
      <c r="AT5" s="2180"/>
      <c r="AU5" s="2180"/>
      <c r="AV5" s="1204"/>
      <c r="AW5" s="1204"/>
      <c r="AX5" s="1204"/>
      <c r="AY5" s="1204"/>
      <c r="AZ5" s="1204"/>
      <c r="BA5" s="1204"/>
      <c r="BB5" s="1204"/>
      <c r="BC5" s="1204"/>
      <c r="BD5" s="1204"/>
      <c r="BE5" s="1205"/>
    </row>
    <row r="6" spans="1:65" ht="15.75" customHeight="1" thickBot="1">
      <c r="A6" s="1203"/>
      <c r="B6" s="1206" t="s">
        <v>1859</v>
      </c>
      <c r="C6" s="1204"/>
      <c r="D6" s="1204"/>
      <c r="E6" s="1204"/>
      <c r="F6" s="1204"/>
      <c r="G6" s="1204"/>
      <c r="H6" s="1204"/>
      <c r="I6" s="1204"/>
      <c r="J6" s="1204"/>
      <c r="K6" s="1204"/>
      <c r="L6" s="2164" t="str">
        <f>IF(Application!H16="","",Application!H16)</f>
        <v>Maisons Sierra Phase 1, LP</v>
      </c>
      <c r="M6" s="2165"/>
      <c r="N6" s="2165"/>
      <c r="O6" s="2165"/>
      <c r="P6" s="2165"/>
      <c r="Q6" s="2165"/>
      <c r="R6" s="2165"/>
      <c r="S6" s="2165"/>
      <c r="T6" s="2165"/>
      <c r="U6" s="2165"/>
      <c r="V6" s="2165"/>
      <c r="W6" s="2165"/>
      <c r="X6" s="2165"/>
      <c r="Y6" s="2165"/>
      <c r="Z6" s="2165"/>
      <c r="AA6" s="2165"/>
      <c r="AB6" s="2165"/>
      <c r="AC6" s="2166"/>
      <c r="AD6" s="1204"/>
      <c r="AE6" s="1204"/>
      <c r="AF6" s="2167" t="s">
        <v>2564</v>
      </c>
      <c r="AG6" s="2167"/>
      <c r="AH6" s="2167"/>
      <c r="AI6" s="2167"/>
      <c r="AJ6" s="2167"/>
      <c r="AK6" s="2167"/>
      <c r="AL6" s="2167"/>
      <c r="AM6" s="2167"/>
      <c r="AN6" s="2167"/>
      <c r="AO6" s="2167"/>
      <c r="AP6" s="2168">
        <v>1</v>
      </c>
      <c r="AQ6" s="2168"/>
      <c r="AR6" s="2168"/>
      <c r="AS6" s="2168"/>
      <c r="AT6" s="2168"/>
      <c r="AU6" s="2168"/>
      <c r="AV6" s="1204"/>
      <c r="AW6" s="1204"/>
      <c r="AX6" s="1204"/>
      <c r="AY6" s="1204"/>
      <c r="AZ6" s="1204"/>
      <c r="BA6" s="1204"/>
      <c r="BB6" s="1204"/>
      <c r="BC6" s="1204"/>
      <c r="BD6" s="1204"/>
      <c r="BE6" s="1205"/>
    </row>
    <row r="7" spans="1:65" thickBot="1">
      <c r="A7" s="1203"/>
      <c r="B7" s="1204"/>
      <c r="C7" s="1204"/>
      <c r="D7" s="1204"/>
      <c r="E7" s="1204"/>
      <c r="F7" s="1204"/>
      <c r="G7" s="1204"/>
      <c r="H7" s="1204"/>
      <c r="I7" s="1204"/>
      <c r="J7" s="1204"/>
      <c r="K7" s="1204"/>
      <c r="L7" s="1204"/>
      <c r="M7" s="1204"/>
      <c r="N7" s="1204"/>
      <c r="O7" s="1204"/>
      <c r="P7" s="1204"/>
      <c r="Q7" s="1204"/>
      <c r="R7" s="1204"/>
      <c r="S7" s="1204"/>
      <c r="T7" s="1204"/>
      <c r="U7" s="1204"/>
      <c r="V7" s="1204"/>
      <c r="W7" s="1204"/>
      <c r="X7" s="1204"/>
      <c r="Y7" s="1204"/>
      <c r="Z7" s="1204"/>
      <c r="AA7" s="1204"/>
      <c r="AB7" s="1204"/>
      <c r="AC7" s="1204"/>
      <c r="AD7" s="1204"/>
      <c r="AE7" s="1204"/>
      <c r="AF7" s="2167" t="s">
        <v>2565</v>
      </c>
      <c r="AG7" s="2167"/>
      <c r="AH7" s="2167"/>
      <c r="AI7" s="2167"/>
      <c r="AJ7" s="2167"/>
      <c r="AK7" s="2167"/>
      <c r="AL7" s="2167"/>
      <c r="AM7" s="2167"/>
      <c r="AN7" s="2167"/>
      <c r="AO7" s="2167"/>
      <c r="AP7" s="2168">
        <v>0</v>
      </c>
      <c r="AQ7" s="2168"/>
      <c r="AR7" s="2168"/>
      <c r="AS7" s="2168"/>
      <c r="AT7" s="2168"/>
      <c r="AU7" s="2168"/>
      <c r="AV7" s="1204"/>
      <c r="AW7" s="1204"/>
      <c r="AX7" s="1204"/>
      <c r="AY7" s="1204"/>
      <c r="AZ7" s="1204"/>
      <c r="BA7" s="1204"/>
      <c r="BB7" s="1204"/>
      <c r="BC7" s="1204"/>
      <c r="BD7" s="1204"/>
      <c r="BE7" s="1205"/>
    </row>
    <row r="8" spans="1:65" thickBot="1">
      <c r="A8" s="1203"/>
      <c r="B8" s="1206" t="s">
        <v>1860</v>
      </c>
      <c r="C8" s="1204"/>
      <c r="D8" s="1204"/>
      <c r="E8" s="1204"/>
      <c r="F8" s="1204"/>
      <c r="G8" s="1204"/>
      <c r="H8" s="1204"/>
      <c r="I8" s="1204"/>
      <c r="J8" s="1204"/>
      <c r="K8" s="1204"/>
      <c r="L8" s="1204"/>
      <c r="M8" s="1204"/>
      <c r="N8" s="1204"/>
      <c r="O8" s="1204"/>
      <c r="P8" s="1204"/>
      <c r="Q8" s="1204"/>
      <c r="R8" s="1204"/>
      <c r="S8" s="1204"/>
      <c r="T8" s="1204"/>
      <c r="U8" s="1204"/>
      <c r="V8" s="1204"/>
      <c r="W8" s="1204"/>
      <c r="X8" s="1204"/>
      <c r="Y8" s="1204"/>
      <c r="Z8" s="1204"/>
      <c r="AA8" s="1204"/>
      <c r="AB8" s="2169" t="str">
        <f>Application!T196</f>
        <v>No</v>
      </c>
      <c r="AC8" s="2170"/>
      <c r="AD8" s="2171"/>
      <c r="AE8" s="1204"/>
      <c r="AF8" s="2167" t="s">
        <v>2566</v>
      </c>
      <c r="AG8" s="2167"/>
      <c r="AH8" s="2167"/>
      <c r="AI8" s="2167"/>
      <c r="AJ8" s="2167"/>
      <c r="AK8" s="2167"/>
      <c r="AL8" s="2167"/>
      <c r="AM8" s="2167"/>
      <c r="AN8" s="2167"/>
      <c r="AO8" s="2167"/>
      <c r="AP8" s="2168" t="s">
        <v>2518</v>
      </c>
      <c r="AQ8" s="2168"/>
      <c r="AR8" s="2168"/>
      <c r="AS8" s="2168"/>
      <c r="AT8" s="2168"/>
      <c r="AU8" s="2168"/>
      <c r="AV8" s="1204"/>
      <c r="AW8" s="1204"/>
      <c r="AX8" s="1204"/>
      <c r="AY8" s="1204"/>
      <c r="AZ8" s="1204"/>
      <c r="BA8" s="1204"/>
      <c r="BB8" s="1204"/>
      <c r="BC8" s="1204"/>
      <c r="BD8" s="1204"/>
      <c r="BE8" s="1205"/>
      <c r="BM8" s="1201" t="s">
        <v>2373</v>
      </c>
    </row>
    <row r="9" spans="1:65" ht="15">
      <c r="A9" s="1204"/>
      <c r="B9" s="1204"/>
      <c r="C9" s="1204"/>
      <c r="D9" s="1204"/>
      <c r="E9" s="1204"/>
      <c r="F9" s="1204"/>
      <c r="G9" s="1204"/>
      <c r="H9" s="1204"/>
      <c r="I9" s="1204"/>
      <c r="J9" s="1204"/>
      <c r="K9" s="1204"/>
      <c r="L9" s="1204"/>
      <c r="M9" s="1204"/>
      <c r="N9" s="1204"/>
      <c r="O9" s="1204"/>
      <c r="P9" s="1204"/>
      <c r="Q9" s="1204"/>
      <c r="R9" s="1204"/>
      <c r="S9" s="1204"/>
      <c r="T9" s="1204"/>
      <c r="U9" s="1204"/>
      <c r="V9" s="1204"/>
      <c r="W9" s="1204"/>
      <c r="X9" s="1204"/>
      <c r="Y9" s="1204"/>
      <c r="Z9" s="1204"/>
      <c r="AA9" s="1204"/>
      <c r="AB9" s="1204"/>
      <c r="AC9" s="1204"/>
      <c r="AD9" s="1204"/>
      <c r="AE9" s="1204"/>
      <c r="AF9" s="1204"/>
      <c r="AG9" s="1204"/>
      <c r="AH9" s="1204"/>
      <c r="AI9" s="1204"/>
      <c r="AJ9" s="1204"/>
      <c r="AK9" s="1204"/>
      <c r="AL9" s="1204"/>
      <c r="AM9" s="1204"/>
      <c r="AN9" s="1204"/>
      <c r="AO9" s="1204"/>
      <c r="AP9" s="1204"/>
      <c r="AQ9" s="1207"/>
      <c r="AR9" s="1207"/>
      <c r="AS9" s="1204"/>
      <c r="AT9" s="1204"/>
      <c r="AU9" s="1204"/>
      <c r="AV9" s="1204"/>
      <c r="AW9" s="1204"/>
      <c r="AX9" s="1204"/>
      <c r="AY9" s="1204"/>
      <c r="AZ9" s="1204"/>
      <c r="BA9" s="1204"/>
      <c r="BB9" s="1204"/>
      <c r="BC9" s="1204"/>
      <c r="BD9" s="1204"/>
      <c r="BE9" s="1205"/>
      <c r="BM9" s="1201" t="s">
        <v>2567</v>
      </c>
    </row>
    <row r="10" spans="1:65" ht="15">
      <c r="A10" s="1203"/>
      <c r="B10" s="1206" t="s">
        <v>1861</v>
      </c>
      <c r="C10" s="1206"/>
      <c r="D10" s="1206"/>
      <c r="E10" s="1206"/>
      <c r="F10" s="1206"/>
      <c r="G10" s="1206"/>
      <c r="H10" s="1206"/>
      <c r="I10" s="1206"/>
      <c r="J10" s="1206"/>
      <c r="K10" s="1206"/>
      <c r="L10" s="1206"/>
      <c r="M10" s="1204"/>
      <c r="N10" s="2195">
        <f>Application!AO623</f>
        <v>26950000</v>
      </c>
      <c r="O10" s="2195"/>
      <c r="P10" s="2195"/>
      <c r="Q10" s="2195"/>
      <c r="R10" s="2195"/>
      <c r="S10" s="2195"/>
      <c r="T10" s="2195"/>
      <c r="U10" s="1204"/>
      <c r="V10" s="1204"/>
      <c r="W10" s="1204"/>
      <c r="X10" s="2181" t="s">
        <v>2568</v>
      </c>
      <c r="Y10" s="2181"/>
      <c r="Z10" s="2181"/>
      <c r="AA10" s="2181"/>
      <c r="AB10" s="2181"/>
      <c r="AC10" s="2181"/>
      <c r="AD10" s="2181"/>
      <c r="AE10" s="2181"/>
      <c r="AF10" s="2181"/>
      <c r="AG10" s="2181"/>
      <c r="AH10" s="2181"/>
      <c r="AI10" s="2181"/>
      <c r="AJ10" s="2181"/>
      <c r="AK10" s="2181"/>
      <c r="AL10" s="2196">
        <f>Application!W471</f>
        <v>30</v>
      </c>
      <c r="AM10" s="2197"/>
      <c r="AN10" s="2197"/>
      <c r="AO10" s="2197"/>
      <c r="AP10" s="2197"/>
      <c r="AQ10" s="1207"/>
      <c r="AR10" s="1207"/>
      <c r="AS10" s="1207"/>
      <c r="AT10" s="1207"/>
      <c r="AU10" s="1207"/>
      <c r="AV10" s="1207"/>
      <c r="AW10" s="1207"/>
      <c r="AX10" s="1204"/>
      <c r="AY10" s="1204"/>
      <c r="AZ10" s="1204"/>
      <c r="BA10" s="1204"/>
      <c r="BB10" s="1204"/>
      <c r="BC10" s="1204"/>
      <c r="BD10" s="1204"/>
      <c r="BE10" s="1205"/>
      <c r="BM10" s="1201" t="s">
        <v>2569</v>
      </c>
    </row>
    <row r="11" spans="1:65" ht="15">
      <c r="A11" s="1203"/>
      <c r="B11" s="1206" t="s">
        <v>1862</v>
      </c>
      <c r="C11" s="1206"/>
      <c r="D11" s="1206"/>
      <c r="E11" s="1206"/>
      <c r="F11" s="1206"/>
      <c r="G11" s="1206"/>
      <c r="H11" s="1206"/>
      <c r="I11" s="1206"/>
      <c r="J11" s="1206"/>
      <c r="K11" s="1206"/>
      <c r="L11" s="1206"/>
      <c r="M11" s="1204"/>
      <c r="N11" s="2195">
        <f>Application!AA911</f>
        <v>1600000</v>
      </c>
      <c r="O11" s="2195"/>
      <c r="P11" s="2195"/>
      <c r="Q11" s="2195"/>
      <c r="R11" s="2195"/>
      <c r="S11" s="2195"/>
      <c r="T11" s="2195"/>
      <c r="U11" s="1204"/>
      <c r="V11" s="1204"/>
      <c r="W11" s="1204"/>
      <c r="X11" s="2198" t="s">
        <v>2570</v>
      </c>
      <c r="Y11" s="2198"/>
      <c r="Z11" s="2198"/>
      <c r="AA11" s="2198"/>
      <c r="AB11" s="2198"/>
      <c r="AC11" s="2198"/>
      <c r="AD11" s="2198"/>
      <c r="AE11" s="2198"/>
      <c r="AF11" s="2198"/>
      <c r="AG11" s="2198"/>
      <c r="AH11" s="2198"/>
      <c r="AI11" s="2198"/>
      <c r="AJ11" s="2198"/>
      <c r="AK11" s="2198"/>
      <c r="AL11" s="2182">
        <v>45012</v>
      </c>
      <c r="AM11" s="2183"/>
      <c r="AN11" s="2183"/>
      <c r="AO11" s="2183"/>
      <c r="AP11" s="2183"/>
      <c r="AQ11" s="1208"/>
      <c r="AR11" s="1209"/>
      <c r="AS11" s="1207"/>
      <c r="AT11" s="1207"/>
      <c r="AU11" s="1207"/>
      <c r="AV11" s="1207"/>
      <c r="AW11" s="1207"/>
      <c r="AX11" s="1204"/>
      <c r="AY11" s="1204"/>
      <c r="AZ11" s="1204"/>
      <c r="BA11" s="1204"/>
      <c r="BB11" s="1204"/>
      <c r="BC11" s="1204"/>
      <c r="BD11" s="1204"/>
      <c r="BE11" s="1205"/>
      <c r="BM11" s="1201" t="s">
        <v>2518</v>
      </c>
    </row>
    <row r="12" spans="1:65" thickBot="1">
      <c r="A12" s="1204"/>
      <c r="B12" s="1204"/>
      <c r="C12" s="1204"/>
      <c r="D12" s="1204"/>
      <c r="E12" s="1204"/>
      <c r="F12" s="1204"/>
      <c r="G12" s="1204"/>
      <c r="H12" s="1204"/>
      <c r="I12" s="1204"/>
      <c r="J12" s="1204"/>
      <c r="K12" s="1204"/>
      <c r="L12" s="1204"/>
      <c r="M12" s="1204"/>
      <c r="N12" s="1204"/>
      <c r="O12" s="1204"/>
      <c r="P12" s="1204"/>
      <c r="Q12" s="1204"/>
      <c r="R12" s="1204"/>
      <c r="S12" s="1204"/>
      <c r="T12" s="1204"/>
      <c r="U12" s="1204"/>
      <c r="V12" s="1204"/>
      <c r="W12" s="1204"/>
      <c r="X12" s="2181" t="s">
        <v>2571</v>
      </c>
      <c r="Y12" s="2181"/>
      <c r="Z12" s="2181"/>
      <c r="AA12" s="2181"/>
      <c r="AB12" s="2181"/>
      <c r="AC12" s="2181"/>
      <c r="AD12" s="2181"/>
      <c r="AE12" s="2181"/>
      <c r="AF12" s="2181"/>
      <c r="AG12" s="2181"/>
      <c r="AH12" s="2181"/>
      <c r="AI12" s="2181"/>
      <c r="AJ12" s="2181"/>
      <c r="AK12" s="2181"/>
      <c r="AL12" s="2182">
        <v>45069</v>
      </c>
      <c r="AM12" s="2183"/>
      <c r="AN12" s="2183"/>
      <c r="AO12" s="2183"/>
      <c r="AP12" s="2183"/>
      <c r="AQ12" s="1207"/>
      <c r="AR12" s="1207"/>
      <c r="AS12" s="1207"/>
      <c r="AT12" s="1207"/>
      <c r="AU12" s="1207"/>
      <c r="AV12" s="1204"/>
      <c r="AW12" s="1204"/>
      <c r="AX12" s="1204"/>
      <c r="AY12" s="1204"/>
      <c r="AZ12" s="1204"/>
      <c r="BA12" s="1204"/>
      <c r="BB12" s="1204"/>
      <c r="BC12" s="1204"/>
      <c r="BD12" s="1204"/>
      <c r="BE12" s="1210"/>
      <c r="BM12" s="1201" t="s">
        <v>2572</v>
      </c>
    </row>
    <row r="13" spans="1:65" thickBot="1">
      <c r="A13" s="1204"/>
      <c r="B13" s="2184" t="s">
        <v>1863</v>
      </c>
      <c r="C13" s="2185"/>
      <c r="D13" s="2185"/>
      <c r="E13" s="2185"/>
      <c r="F13" s="2185"/>
      <c r="G13" s="2185"/>
      <c r="H13" s="2185"/>
      <c r="I13" s="2185"/>
      <c r="J13" s="2185"/>
      <c r="K13" s="2185"/>
      <c r="L13" s="2185"/>
      <c r="M13" s="2185"/>
      <c r="N13" s="2185"/>
      <c r="O13" s="2185"/>
      <c r="P13" s="2186"/>
      <c r="Q13" s="2187" t="s">
        <v>679</v>
      </c>
      <c r="R13" s="2188"/>
      <c r="S13" s="2188"/>
      <c r="T13" s="2189"/>
      <c r="U13" s="1207"/>
      <c r="V13" s="1204"/>
      <c r="W13" s="1204"/>
      <c r="X13" s="1204"/>
      <c r="Y13" s="1204"/>
      <c r="Z13" s="1204"/>
      <c r="AA13" s="1207"/>
      <c r="AB13" s="1207"/>
      <c r="AC13" s="1207"/>
      <c r="AD13" s="1207"/>
      <c r="AE13" s="1207"/>
      <c r="AF13" s="1207"/>
      <c r="AG13" s="1207"/>
      <c r="AH13" s="1207"/>
      <c r="AI13" s="1207"/>
      <c r="AJ13" s="1207"/>
      <c r="AK13" s="1207"/>
      <c r="AL13" s="1207"/>
      <c r="AM13" s="1207"/>
      <c r="AN13" s="1207"/>
      <c r="AO13" s="1207"/>
      <c r="AP13" s="1207"/>
      <c r="AQ13" s="1207"/>
      <c r="AR13" s="1207"/>
      <c r="AS13" s="1207"/>
      <c r="AT13" s="1207"/>
      <c r="AU13" s="1207"/>
      <c r="AV13" s="1207"/>
      <c r="AW13" s="1207"/>
      <c r="AX13" s="1207"/>
      <c r="AY13" s="1207"/>
      <c r="AZ13" s="1207"/>
      <c r="BA13" s="1207"/>
      <c r="BB13" s="1207"/>
      <c r="BC13" s="1207"/>
      <c r="BD13" s="1207"/>
      <c r="BE13" s="1210"/>
      <c r="BM13" s="1201" t="s">
        <v>2573</v>
      </c>
    </row>
    <row r="14" spans="1:65" thickBot="1">
      <c r="A14" s="1204"/>
      <c r="B14" s="1204"/>
      <c r="C14" s="1204"/>
      <c r="D14" s="1204"/>
      <c r="E14" s="1204"/>
      <c r="F14" s="1204"/>
      <c r="G14" s="1204"/>
      <c r="H14" s="1204"/>
      <c r="I14" s="1204"/>
      <c r="J14" s="1204"/>
      <c r="K14" s="1204"/>
      <c r="L14" s="1204"/>
      <c r="M14" s="1204"/>
      <c r="N14" s="1204"/>
      <c r="O14" s="1204"/>
      <c r="P14" s="1204"/>
      <c r="Q14" s="1204"/>
      <c r="R14" s="1204"/>
      <c r="S14" s="1204"/>
      <c r="T14" s="1204"/>
      <c r="U14" s="1204"/>
      <c r="V14" s="1204"/>
      <c r="W14" s="1204"/>
      <c r="X14" s="1204"/>
      <c r="Y14" s="1204"/>
      <c r="Z14" s="1204"/>
      <c r="AA14" s="1207"/>
      <c r="AB14" s="1207"/>
      <c r="AC14" s="1207"/>
      <c r="AD14" s="1207"/>
      <c r="AE14" s="1207"/>
      <c r="AF14" s="1207"/>
      <c r="AG14" s="1207"/>
      <c r="AH14" s="1207"/>
      <c r="AI14" s="1207"/>
      <c r="AJ14" s="1207"/>
      <c r="AK14" s="1207"/>
      <c r="AL14" s="1207"/>
      <c r="AM14" s="1207"/>
      <c r="AN14" s="1207"/>
      <c r="AO14" s="1207"/>
      <c r="AP14" s="1207"/>
      <c r="AQ14" s="1207"/>
      <c r="AR14" s="1207"/>
      <c r="AS14" s="1207"/>
      <c r="AT14" s="1207"/>
      <c r="AU14" s="1207"/>
      <c r="AV14" s="1207"/>
      <c r="AW14" s="1207"/>
      <c r="AX14" s="1207"/>
      <c r="AY14" s="1207"/>
      <c r="AZ14" s="1207"/>
      <c r="BA14" s="1207"/>
      <c r="BB14" s="1207"/>
      <c r="BC14" s="1207"/>
      <c r="BD14" s="1207"/>
      <c r="BE14" s="1210"/>
    </row>
    <row r="15" spans="1:65" thickBot="1">
      <c r="A15" s="1204"/>
      <c r="B15" s="2190" t="s">
        <v>1864</v>
      </c>
      <c r="C15" s="2191"/>
      <c r="D15" s="2191"/>
      <c r="E15" s="2191"/>
      <c r="F15" s="2191"/>
      <c r="G15" s="2191"/>
      <c r="H15" s="2191"/>
      <c r="I15" s="2191"/>
      <c r="J15" s="2191"/>
      <c r="K15" s="2191"/>
      <c r="L15" s="2191"/>
      <c r="M15" s="2191"/>
      <c r="N15" s="2191"/>
      <c r="O15" s="2191"/>
      <c r="P15" s="2191"/>
      <c r="Q15" s="2191"/>
      <c r="R15" s="2192"/>
      <c r="S15" s="2193" t="str">
        <f>IF(Application!AB214="","",Application!AB214)</f>
        <v/>
      </c>
      <c r="T15" s="2193"/>
      <c r="U15" s="2193"/>
      <c r="V15" s="2193"/>
      <c r="W15" s="2194"/>
      <c r="X15" s="1207"/>
      <c r="Y15" s="1204"/>
      <c r="Z15" s="1204"/>
      <c r="AA15" s="1207"/>
      <c r="AB15" s="1207"/>
      <c r="AC15" s="1207"/>
      <c r="AD15" s="1207"/>
      <c r="AE15" s="1207"/>
      <c r="AF15" s="1207"/>
      <c r="AG15" s="1207"/>
      <c r="AH15" s="1207"/>
      <c r="AI15" s="1207"/>
      <c r="AJ15" s="1207"/>
      <c r="AK15" s="1207"/>
      <c r="AL15" s="1207"/>
      <c r="AM15" s="1207"/>
      <c r="AN15" s="1207"/>
      <c r="AO15" s="1207"/>
      <c r="AP15" s="1207"/>
      <c r="AQ15" s="1207"/>
      <c r="AR15" s="1207"/>
      <c r="AS15" s="1207"/>
      <c r="AT15" s="1207"/>
      <c r="AU15" s="1207"/>
      <c r="AV15" s="1207"/>
      <c r="AW15" s="1207"/>
      <c r="AX15" s="1207"/>
      <c r="AY15" s="1207"/>
      <c r="AZ15" s="1207"/>
      <c r="BA15" s="1207"/>
      <c r="BB15" s="1207"/>
      <c r="BC15" s="1207"/>
      <c r="BD15" s="1207"/>
      <c r="BE15" s="1210"/>
    </row>
    <row r="16" spans="1:65" thickBot="1">
      <c r="A16" s="1203"/>
      <c r="B16" s="1204"/>
      <c r="C16" s="1204"/>
      <c r="D16" s="1204"/>
      <c r="E16" s="1204"/>
      <c r="F16" s="1204"/>
      <c r="G16" s="1204"/>
      <c r="H16" s="1204"/>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D16" s="1204"/>
      <c r="BE16" s="1210"/>
    </row>
    <row r="17" spans="1:58" ht="15">
      <c r="A17" s="1204"/>
      <c r="B17" s="2199" t="s">
        <v>1865</v>
      </c>
      <c r="C17" s="2200"/>
      <c r="D17" s="2200"/>
      <c r="E17" s="2200"/>
      <c r="F17" s="2200"/>
      <c r="G17" s="2200"/>
      <c r="H17" s="2200"/>
      <c r="I17" s="2200"/>
      <c r="J17" s="2200"/>
      <c r="K17" s="2200"/>
      <c r="L17" s="2200"/>
      <c r="M17" s="2200"/>
      <c r="N17" s="2200"/>
      <c r="O17" s="2200"/>
      <c r="P17" s="2200"/>
      <c r="Q17" s="2200"/>
      <c r="R17" s="2200"/>
      <c r="S17" s="2200"/>
      <c r="T17" s="2200"/>
      <c r="U17" s="2200"/>
      <c r="V17" s="2200"/>
      <c r="W17" s="2200"/>
      <c r="X17" s="2200"/>
      <c r="Y17" s="2200"/>
      <c r="Z17" s="2200"/>
      <c r="AA17" s="2200"/>
      <c r="AB17" s="2200"/>
      <c r="AC17" s="2200"/>
      <c r="AD17" s="2200"/>
      <c r="AE17" s="2200"/>
      <c r="AF17" s="2200"/>
      <c r="AG17" s="2200"/>
      <c r="AH17" s="2200"/>
      <c r="AI17" s="2200"/>
      <c r="AJ17" s="2200"/>
      <c r="AK17" s="2200"/>
      <c r="AL17" s="2200"/>
      <c r="AM17" s="2200"/>
      <c r="AN17" s="2200"/>
      <c r="AO17" s="2200"/>
      <c r="AP17" s="2200"/>
      <c r="AQ17" s="2200"/>
      <c r="AR17" s="2200"/>
      <c r="AS17" s="2200"/>
      <c r="AT17" s="2200"/>
      <c r="AU17" s="2200"/>
      <c r="AV17" s="2200"/>
      <c r="AW17" s="2200"/>
      <c r="AX17" s="2200"/>
      <c r="AY17" s="2201"/>
      <c r="AZ17" s="1204"/>
      <c r="BA17" s="1204"/>
      <c r="BB17" s="1204"/>
      <c r="BC17" s="1204"/>
      <c r="BD17" s="1204"/>
      <c r="BE17" s="1210"/>
      <c r="BF17" s="1202"/>
    </row>
    <row r="18" spans="1:58" ht="15.75" customHeight="1">
      <c r="A18" s="1204"/>
      <c r="B18" s="2202" t="s">
        <v>1866</v>
      </c>
      <c r="C18" s="2203"/>
      <c r="D18" s="2203"/>
      <c r="E18" s="2203"/>
      <c r="F18" s="2203"/>
      <c r="G18" s="2203"/>
      <c r="H18" s="2203"/>
      <c r="I18" s="2204"/>
      <c r="J18" s="2205" t="s">
        <v>1765</v>
      </c>
      <c r="K18" s="2206"/>
      <c r="L18" s="2206"/>
      <c r="M18" s="2206"/>
      <c r="N18" s="2206"/>
      <c r="O18" s="2207"/>
      <c r="P18" s="2205" t="s">
        <v>326</v>
      </c>
      <c r="Q18" s="2206"/>
      <c r="R18" s="2206"/>
      <c r="S18" s="2206"/>
      <c r="T18" s="2206"/>
      <c r="U18" s="2207"/>
      <c r="V18" s="2205" t="s">
        <v>327</v>
      </c>
      <c r="W18" s="2206"/>
      <c r="X18" s="2206"/>
      <c r="Y18" s="2206"/>
      <c r="Z18" s="2206"/>
      <c r="AA18" s="2207"/>
      <c r="AB18" s="2205" t="s">
        <v>164</v>
      </c>
      <c r="AC18" s="2206"/>
      <c r="AD18" s="2206"/>
      <c r="AE18" s="2206"/>
      <c r="AF18" s="2206"/>
      <c r="AG18" s="2207"/>
      <c r="AH18" s="2205" t="s">
        <v>165</v>
      </c>
      <c r="AI18" s="2206"/>
      <c r="AJ18" s="2206"/>
      <c r="AK18" s="2206"/>
      <c r="AL18" s="2206"/>
      <c r="AM18" s="2207"/>
      <c r="AN18" s="2205" t="s">
        <v>166</v>
      </c>
      <c r="AO18" s="2206"/>
      <c r="AP18" s="2206"/>
      <c r="AQ18" s="2206"/>
      <c r="AR18" s="2206"/>
      <c r="AS18" s="2207"/>
      <c r="AT18" s="2205" t="s">
        <v>1867</v>
      </c>
      <c r="AU18" s="2206"/>
      <c r="AV18" s="2206"/>
      <c r="AW18" s="2206"/>
      <c r="AX18" s="2206"/>
      <c r="AY18" s="2208"/>
      <c r="AZ18" s="1204"/>
      <c r="BA18" s="1204"/>
      <c r="BB18" s="1204"/>
      <c r="BC18" s="1204"/>
      <c r="BD18" s="1204"/>
      <c r="BE18" s="1210"/>
    </row>
    <row r="19" spans="1:58" ht="15">
      <c r="A19" s="1204"/>
      <c r="B19" s="2215">
        <v>0.3</v>
      </c>
      <c r="C19" s="2216"/>
      <c r="D19" s="2216"/>
      <c r="E19" s="2216"/>
      <c r="F19" s="2216"/>
      <c r="G19" s="2216"/>
      <c r="H19" s="2216"/>
      <c r="I19" s="2217"/>
      <c r="J19" s="2209">
        <f>SUM(P19:AS19)</f>
        <v>20</v>
      </c>
      <c r="K19" s="2210"/>
      <c r="L19" s="2210"/>
      <c r="M19" s="2210"/>
      <c r="N19" s="2210"/>
      <c r="O19" s="2211"/>
      <c r="P19" s="2209" cm="1">
        <f t="array" ref="P19">SUMPRODUCT((Application!$B$714:$B$738 = 'CalHFA Addendum'!P$18)*(Application!$AC$714:$AC$738 = 'CalHFA Addendum'!$B19),Application!$G$714:$G$738)</f>
        <v>0</v>
      </c>
      <c r="Q19" s="2210"/>
      <c r="R19" s="2210"/>
      <c r="S19" s="2210"/>
      <c r="T19" s="2210"/>
      <c r="U19" s="2211"/>
      <c r="V19" s="2209" cm="1">
        <f t="array" ref="V19">SUMPRODUCT((Application!$B$714:$B$738 = 'CalHFA Addendum'!V$18)*(Application!$AC$714:$AC$738 = 'CalHFA Addendum'!$B19),Application!$G$714:$G$738)</f>
        <v>6</v>
      </c>
      <c r="W19" s="2210"/>
      <c r="X19" s="2210"/>
      <c r="Y19" s="2210"/>
      <c r="Z19" s="2210"/>
      <c r="AA19" s="2211"/>
      <c r="AB19" s="2209" cm="1">
        <f t="array" ref="AB19">SUMPRODUCT((Application!$B$714:$B$738 = 'CalHFA Addendum'!AB$18)*(Application!$AC$714:$AC$738 = 'CalHFA Addendum'!$B19),Application!$G$714:$G$738)</f>
        <v>7</v>
      </c>
      <c r="AC19" s="2210"/>
      <c r="AD19" s="2210"/>
      <c r="AE19" s="2210"/>
      <c r="AF19" s="2210"/>
      <c r="AG19" s="2211"/>
      <c r="AH19" s="2209" cm="1">
        <f t="array" ref="AH19">SUMPRODUCT((Application!$B$714:$B$738 = 'CalHFA Addendum'!AH$18)*(Application!$AC$714:$AC$738 = 'CalHFA Addendum'!$B19),Application!$G$714:$G$738)</f>
        <v>7</v>
      </c>
      <c r="AI19" s="2210"/>
      <c r="AJ19" s="2210"/>
      <c r="AK19" s="2210"/>
      <c r="AL19" s="2210"/>
      <c r="AM19" s="2211"/>
      <c r="AN19" s="2209" cm="1">
        <f t="array" ref="AN19">SUMPRODUCT((Application!$B$714:$B$738 = 'CalHFA Addendum'!AN$18)*(Application!$AC$714:$AC$738 = 'CalHFA Addendum'!$B19),Application!$G$714:$G$738)</f>
        <v>0</v>
      </c>
      <c r="AO19" s="2210"/>
      <c r="AP19" s="2210"/>
      <c r="AQ19" s="2210"/>
      <c r="AR19" s="2210"/>
      <c r="AS19" s="2211"/>
      <c r="AT19" s="2212">
        <f t="shared" ref="AT19:AT28" si="0">J19/$J$29</f>
        <v>0.10204081632653061</v>
      </c>
      <c r="AU19" s="2213"/>
      <c r="AV19" s="2213"/>
      <c r="AW19" s="2213"/>
      <c r="AX19" s="2213"/>
      <c r="AY19" s="2214"/>
      <c r="AZ19" s="1211"/>
      <c r="BA19" s="1204"/>
      <c r="BB19" s="1204"/>
      <c r="BC19" s="1204"/>
      <c r="BD19" s="1204"/>
      <c r="BE19" s="1210"/>
    </row>
    <row r="20" spans="1:58" ht="15" customHeight="1">
      <c r="A20" s="1204"/>
      <c r="B20" s="2215">
        <v>0.4</v>
      </c>
      <c r="C20" s="2216"/>
      <c r="D20" s="2216"/>
      <c r="E20" s="2216"/>
      <c r="F20" s="2216"/>
      <c r="G20" s="2216"/>
      <c r="H20" s="2216"/>
      <c r="I20" s="2217"/>
      <c r="J20" s="2209">
        <f t="shared" ref="J20:J28" si="1">SUM(P20:AS20)</f>
        <v>0</v>
      </c>
      <c r="K20" s="2210"/>
      <c r="L20" s="2210"/>
      <c r="M20" s="2210"/>
      <c r="N20" s="2210"/>
      <c r="O20" s="2211"/>
      <c r="P20" s="2209" cm="1">
        <f t="array" ref="P20">SUMPRODUCT((Application!$B$714:$B$738 = 'CalHFA Addendum'!P$18)*(Application!$AC$714:$AC$738 = 'CalHFA Addendum'!$B20),Application!$G$714:$G$738)</f>
        <v>0</v>
      </c>
      <c r="Q20" s="2210"/>
      <c r="R20" s="2210"/>
      <c r="S20" s="2210"/>
      <c r="T20" s="2210"/>
      <c r="U20" s="2211"/>
      <c r="V20" s="2209" cm="1">
        <f t="array" ref="V20">SUMPRODUCT((Application!$B$714:$B$738 = 'CalHFA Addendum'!V$18)*(Application!$AC$714:$AC$738 = 'CalHFA Addendum'!$B20),Application!$G$714:$G$738)</f>
        <v>0</v>
      </c>
      <c r="W20" s="2210"/>
      <c r="X20" s="2210"/>
      <c r="Y20" s="2210"/>
      <c r="Z20" s="2210"/>
      <c r="AA20" s="2211"/>
      <c r="AB20" s="2209" cm="1">
        <f t="array" ref="AB20">SUMPRODUCT((Application!$B$714:$B$738 = 'CalHFA Addendum'!AB$18)*(Application!$AC$714:$AC$738 = 'CalHFA Addendum'!$B20),Application!$G$714:$G$738)</f>
        <v>0</v>
      </c>
      <c r="AC20" s="2210"/>
      <c r="AD20" s="2210"/>
      <c r="AE20" s="2210"/>
      <c r="AF20" s="2210"/>
      <c r="AG20" s="2211"/>
      <c r="AH20" s="2209" cm="1">
        <f t="array" ref="AH20">SUMPRODUCT((Application!$B$714:$B$738 = 'CalHFA Addendum'!AH$18)*(Application!$AC$714:$AC$738 = 'CalHFA Addendum'!$B20),Application!$G$714:$G$738)</f>
        <v>0</v>
      </c>
      <c r="AI20" s="2210"/>
      <c r="AJ20" s="2210"/>
      <c r="AK20" s="2210"/>
      <c r="AL20" s="2210"/>
      <c r="AM20" s="2211"/>
      <c r="AN20" s="2209" cm="1">
        <f t="array" ref="AN20">SUMPRODUCT((Application!$B$714:$B$738 = 'CalHFA Addendum'!AN$18)*(Application!$AC$714:$AC$738 = 'CalHFA Addendum'!$B20),Application!$G$714:$G$738)</f>
        <v>0</v>
      </c>
      <c r="AO20" s="2210"/>
      <c r="AP20" s="2210"/>
      <c r="AQ20" s="2210"/>
      <c r="AR20" s="2210"/>
      <c r="AS20" s="2211"/>
      <c r="AT20" s="2212">
        <f t="shared" si="0"/>
        <v>0</v>
      </c>
      <c r="AU20" s="2213"/>
      <c r="AV20" s="2213"/>
      <c r="AW20" s="2213"/>
      <c r="AX20" s="2213"/>
      <c r="AY20" s="2214"/>
      <c r="AZ20" s="1204"/>
      <c r="BA20" s="1204"/>
      <c r="BB20" s="1204"/>
      <c r="BC20" s="1204"/>
      <c r="BD20" s="1204"/>
      <c r="BE20" s="1210"/>
    </row>
    <row r="21" spans="1:58" ht="15">
      <c r="A21" s="1204"/>
      <c r="B21" s="2215">
        <v>0.5</v>
      </c>
      <c r="C21" s="2216"/>
      <c r="D21" s="2216"/>
      <c r="E21" s="2216"/>
      <c r="F21" s="2216"/>
      <c r="G21" s="2216"/>
      <c r="H21" s="2216"/>
      <c r="I21" s="2217"/>
      <c r="J21" s="2209">
        <f t="shared" si="1"/>
        <v>29</v>
      </c>
      <c r="K21" s="2210"/>
      <c r="L21" s="2210"/>
      <c r="M21" s="2210"/>
      <c r="N21" s="2210"/>
      <c r="O21" s="2211"/>
      <c r="P21" s="2209" cm="1">
        <f t="array" ref="P21">SUMPRODUCT((Application!$B$714:$B$738 = 'CalHFA Addendum'!P$18)*(Application!$AC$714:$AC$738 = 'CalHFA Addendum'!$B21),Application!$G$714:$G$738)</f>
        <v>0</v>
      </c>
      <c r="Q21" s="2210"/>
      <c r="R21" s="2210"/>
      <c r="S21" s="2210"/>
      <c r="T21" s="2210"/>
      <c r="U21" s="2211"/>
      <c r="V21" s="2209" cm="1">
        <f t="array" ref="V21">SUMPRODUCT((Application!$B$714:$B$738 = 'CalHFA Addendum'!V$18)*(Application!$AC$714:$AC$738 = 'CalHFA Addendum'!$B21),Application!$G$714:$G$738)</f>
        <v>4</v>
      </c>
      <c r="W21" s="2210"/>
      <c r="X21" s="2210"/>
      <c r="Y21" s="2210"/>
      <c r="Z21" s="2210"/>
      <c r="AA21" s="2211"/>
      <c r="AB21" s="2209" cm="1">
        <f t="array" ref="AB21">SUMPRODUCT((Application!$B$714:$B$738 = 'CalHFA Addendum'!AB$18)*(Application!$AC$714:$AC$738 = 'CalHFA Addendum'!$B21),Application!$G$714:$G$738)</f>
        <v>12</v>
      </c>
      <c r="AC21" s="2210"/>
      <c r="AD21" s="2210"/>
      <c r="AE21" s="2210"/>
      <c r="AF21" s="2210"/>
      <c r="AG21" s="2211"/>
      <c r="AH21" s="2209" cm="1">
        <f t="array" ref="AH21">SUMPRODUCT((Application!$B$714:$B$738 = 'CalHFA Addendum'!AH$18)*(Application!$AC$714:$AC$738 = 'CalHFA Addendum'!$B21),Application!$G$714:$G$738)</f>
        <v>13</v>
      </c>
      <c r="AI21" s="2210"/>
      <c r="AJ21" s="2210"/>
      <c r="AK21" s="2210"/>
      <c r="AL21" s="2210"/>
      <c r="AM21" s="2211"/>
      <c r="AN21" s="2209" cm="1">
        <f t="array" ref="AN21">SUMPRODUCT((Application!$B$714:$B$738 = 'CalHFA Addendum'!AN$18)*(Application!$AC$714:$AC$738 = 'CalHFA Addendum'!$B21),Application!$G$714:$G$738)</f>
        <v>0</v>
      </c>
      <c r="AO21" s="2210"/>
      <c r="AP21" s="2210"/>
      <c r="AQ21" s="2210"/>
      <c r="AR21" s="2210"/>
      <c r="AS21" s="2211"/>
      <c r="AT21" s="2212">
        <f t="shared" si="0"/>
        <v>0.14795918367346939</v>
      </c>
      <c r="AU21" s="2213"/>
      <c r="AV21" s="2213"/>
      <c r="AW21" s="2213"/>
      <c r="AX21" s="2213"/>
      <c r="AY21" s="2214"/>
      <c r="AZ21" s="1204"/>
      <c r="BA21" s="1204"/>
      <c r="BB21" s="1204"/>
      <c r="BC21" s="1204"/>
      <c r="BD21" s="1204"/>
      <c r="BE21" s="1210"/>
    </row>
    <row r="22" spans="1:58" ht="15">
      <c r="A22" s="1204"/>
      <c r="B22" s="2215">
        <v>0.6</v>
      </c>
      <c r="C22" s="2216"/>
      <c r="D22" s="2216"/>
      <c r="E22" s="2216"/>
      <c r="F22" s="2216"/>
      <c r="G22" s="2216"/>
      <c r="H22" s="2216"/>
      <c r="I22" s="2217"/>
      <c r="J22" s="2209">
        <f t="shared" si="1"/>
        <v>59</v>
      </c>
      <c r="K22" s="2210"/>
      <c r="L22" s="2210"/>
      <c r="M22" s="2210"/>
      <c r="N22" s="2210"/>
      <c r="O22" s="2211"/>
      <c r="P22" s="2209" cm="1">
        <f t="array" ref="P22">SUMPRODUCT((Application!$B$714:$B$738 = 'CalHFA Addendum'!P$18)*(Application!$AC$714:$AC$738 = 'CalHFA Addendum'!$B22),Application!$G$714:$G$738)</f>
        <v>0</v>
      </c>
      <c r="Q22" s="2210"/>
      <c r="R22" s="2210"/>
      <c r="S22" s="2210"/>
      <c r="T22" s="2210"/>
      <c r="U22" s="2211"/>
      <c r="V22" s="2209" cm="1">
        <f t="array" ref="V22">SUMPRODUCT((Application!$B$714:$B$738 = 'CalHFA Addendum'!V$18)*(Application!$AC$714:$AC$738 = 'CalHFA Addendum'!$B22),Application!$G$714:$G$738)</f>
        <v>11</v>
      </c>
      <c r="W22" s="2210"/>
      <c r="X22" s="2210"/>
      <c r="Y22" s="2210"/>
      <c r="Z22" s="2210"/>
      <c r="AA22" s="2211"/>
      <c r="AB22" s="2209" cm="1">
        <f t="array" ref="AB22">SUMPRODUCT((Application!$B$714:$B$738 = 'CalHFA Addendum'!AB$18)*(Application!$AC$714:$AC$738 = 'CalHFA Addendum'!$B22),Application!$G$714:$G$738)</f>
        <v>24</v>
      </c>
      <c r="AC22" s="2210"/>
      <c r="AD22" s="2210"/>
      <c r="AE22" s="2210"/>
      <c r="AF22" s="2210"/>
      <c r="AG22" s="2211"/>
      <c r="AH22" s="2209" cm="1">
        <f t="array" ref="AH22">SUMPRODUCT((Application!$B$714:$B$738 = 'CalHFA Addendum'!AH$18)*(Application!$AC$714:$AC$738 = 'CalHFA Addendum'!$B22),Application!$G$714:$G$738)</f>
        <v>24</v>
      </c>
      <c r="AI22" s="2210"/>
      <c r="AJ22" s="2210"/>
      <c r="AK22" s="2210"/>
      <c r="AL22" s="2210"/>
      <c r="AM22" s="2211"/>
      <c r="AN22" s="2209" cm="1">
        <f t="array" ref="AN22">SUMPRODUCT((Application!$B$714:$B$738 = 'CalHFA Addendum'!AN$18)*(Application!$AC$714:$AC$738 = 'CalHFA Addendum'!$B22),Application!$G$714:$G$738)</f>
        <v>0</v>
      </c>
      <c r="AO22" s="2210"/>
      <c r="AP22" s="2210"/>
      <c r="AQ22" s="2210"/>
      <c r="AR22" s="2210"/>
      <c r="AS22" s="2211"/>
      <c r="AT22" s="2212">
        <f t="shared" si="0"/>
        <v>0.30102040816326531</v>
      </c>
      <c r="AU22" s="2213"/>
      <c r="AV22" s="2213"/>
      <c r="AW22" s="2213"/>
      <c r="AX22" s="2213"/>
      <c r="AY22" s="2214"/>
      <c r="AZ22" s="1204"/>
      <c r="BA22" s="1204"/>
      <c r="BB22" s="1204"/>
      <c r="BC22" s="1204"/>
      <c r="BD22" s="1204"/>
      <c r="BE22" s="1210"/>
    </row>
    <row r="23" spans="1:58" ht="15">
      <c r="A23" s="1204"/>
      <c r="B23" s="2215">
        <v>0.7</v>
      </c>
      <c r="C23" s="2216"/>
      <c r="D23" s="2216"/>
      <c r="E23" s="2216"/>
      <c r="F23" s="2216"/>
      <c r="G23" s="2216"/>
      <c r="H23" s="2216"/>
      <c r="I23" s="2217"/>
      <c r="J23" s="2209">
        <f t="shared" si="1"/>
        <v>87</v>
      </c>
      <c r="K23" s="2210"/>
      <c r="L23" s="2210"/>
      <c r="M23" s="2210"/>
      <c r="N23" s="2210"/>
      <c r="O23" s="2211"/>
      <c r="P23" s="2209" cm="1">
        <f t="array" ref="P23">SUMPRODUCT((Application!$B$714:$B$738 = 'CalHFA Addendum'!P$18)*(Application!$AC$714:$AC$738 = 'CalHFA Addendum'!$B23),Application!$G$714:$G$738)</f>
        <v>0</v>
      </c>
      <c r="Q23" s="2210"/>
      <c r="R23" s="2210"/>
      <c r="S23" s="2210"/>
      <c r="T23" s="2210"/>
      <c r="U23" s="2211"/>
      <c r="V23" s="2209" cm="1">
        <f t="array" ref="V23">SUMPRODUCT((Application!$B$714:$B$738 = 'CalHFA Addendum'!V$18)*(Application!$AC$714:$AC$738 = 'CalHFA Addendum'!$B23),Application!$G$714:$G$738)</f>
        <v>19</v>
      </c>
      <c r="W23" s="2210"/>
      <c r="X23" s="2210"/>
      <c r="Y23" s="2210"/>
      <c r="Z23" s="2210"/>
      <c r="AA23" s="2211"/>
      <c r="AB23" s="2209" cm="1">
        <f t="array" ref="AB23">SUMPRODUCT((Application!$B$714:$B$738 = 'CalHFA Addendum'!AB$18)*(Application!$AC$714:$AC$738 = 'CalHFA Addendum'!$B23),Application!$G$714:$G$738)</f>
        <v>34</v>
      </c>
      <c r="AC23" s="2210"/>
      <c r="AD23" s="2210"/>
      <c r="AE23" s="2210"/>
      <c r="AF23" s="2210"/>
      <c r="AG23" s="2211"/>
      <c r="AH23" s="2209" cm="1">
        <f t="array" ref="AH23">SUMPRODUCT((Application!$B$714:$B$738 = 'CalHFA Addendum'!AH$18)*(Application!$AC$714:$AC$738 = 'CalHFA Addendum'!$B23),Application!$G$714:$G$738)</f>
        <v>34</v>
      </c>
      <c r="AI23" s="2210"/>
      <c r="AJ23" s="2210"/>
      <c r="AK23" s="2210"/>
      <c r="AL23" s="2210"/>
      <c r="AM23" s="2211"/>
      <c r="AN23" s="2209" cm="1">
        <f t="array" ref="AN23">SUMPRODUCT((Application!$B$714:$B$738 = 'CalHFA Addendum'!AN$18)*(Application!$AC$714:$AC$738 = 'CalHFA Addendum'!$B23),Application!$G$714:$G$738)</f>
        <v>0</v>
      </c>
      <c r="AO23" s="2210"/>
      <c r="AP23" s="2210"/>
      <c r="AQ23" s="2210"/>
      <c r="AR23" s="2210"/>
      <c r="AS23" s="2211"/>
      <c r="AT23" s="2212">
        <f t="shared" si="0"/>
        <v>0.44387755102040816</v>
      </c>
      <c r="AU23" s="2213"/>
      <c r="AV23" s="2213"/>
      <c r="AW23" s="2213"/>
      <c r="AX23" s="2213"/>
      <c r="AY23" s="2214"/>
      <c r="AZ23" s="1204"/>
      <c r="BA23" s="1204"/>
      <c r="BB23" s="1204"/>
      <c r="BC23" s="1204"/>
      <c r="BD23" s="1204"/>
      <c r="BE23" s="1210"/>
    </row>
    <row r="24" spans="1:58" ht="15">
      <c r="A24" s="1204"/>
      <c r="B24" s="2215">
        <v>0.8</v>
      </c>
      <c r="C24" s="2216"/>
      <c r="D24" s="2216"/>
      <c r="E24" s="2216"/>
      <c r="F24" s="2216"/>
      <c r="G24" s="2216"/>
      <c r="H24" s="2216"/>
      <c r="I24" s="2217"/>
      <c r="J24" s="2209">
        <f t="shared" si="1"/>
        <v>0</v>
      </c>
      <c r="K24" s="2210"/>
      <c r="L24" s="2210"/>
      <c r="M24" s="2210"/>
      <c r="N24" s="2210"/>
      <c r="O24" s="2211"/>
      <c r="P24" s="2209" cm="1">
        <f t="array" ref="P24">SUMPRODUCT((Application!$B$714:$B$738 = 'CalHFA Addendum'!P$18)*(Application!$AC$714:$AC$738 = 'CalHFA Addendum'!$B24),Application!$G$714:$G$738)</f>
        <v>0</v>
      </c>
      <c r="Q24" s="2210"/>
      <c r="R24" s="2210"/>
      <c r="S24" s="2210"/>
      <c r="T24" s="2210"/>
      <c r="U24" s="2211"/>
      <c r="V24" s="2209" cm="1">
        <f t="array" ref="V24">SUMPRODUCT((Application!$B$714:$B$738 = 'CalHFA Addendum'!V$18)*(Application!$AC$714:$AC$738 = 'CalHFA Addendum'!$B24),Application!$G$714:$G$738)</f>
        <v>0</v>
      </c>
      <c r="W24" s="2210"/>
      <c r="X24" s="2210"/>
      <c r="Y24" s="2210"/>
      <c r="Z24" s="2210"/>
      <c r="AA24" s="2211"/>
      <c r="AB24" s="2209" cm="1">
        <f t="array" ref="AB24">SUMPRODUCT((Application!$B$714:$B$738 = 'CalHFA Addendum'!AB$18)*(Application!$AC$714:$AC$738 = 'CalHFA Addendum'!$B24),Application!$G$714:$G$738)</f>
        <v>0</v>
      </c>
      <c r="AC24" s="2210"/>
      <c r="AD24" s="2210"/>
      <c r="AE24" s="2210"/>
      <c r="AF24" s="2210"/>
      <c r="AG24" s="2211"/>
      <c r="AH24" s="2209" cm="1">
        <f t="array" ref="AH24">SUMPRODUCT((Application!$B$714:$B$738 = 'CalHFA Addendum'!AH$18)*(Application!$AC$714:$AC$738 = 'CalHFA Addendum'!$B24),Application!$G$714:$G$738)</f>
        <v>0</v>
      </c>
      <c r="AI24" s="2210"/>
      <c r="AJ24" s="2210"/>
      <c r="AK24" s="2210"/>
      <c r="AL24" s="2210"/>
      <c r="AM24" s="2211"/>
      <c r="AN24" s="2209" cm="1">
        <f t="array" ref="AN24">SUMPRODUCT((Application!$B$714:$B$738 = 'CalHFA Addendum'!AN$18)*(Application!$AC$714:$AC$738 = 'CalHFA Addendum'!$B24),Application!$G$714:$G$738)</f>
        <v>0</v>
      </c>
      <c r="AO24" s="2210"/>
      <c r="AP24" s="2210"/>
      <c r="AQ24" s="2210"/>
      <c r="AR24" s="2210"/>
      <c r="AS24" s="2211"/>
      <c r="AT24" s="2212">
        <f t="shared" si="0"/>
        <v>0</v>
      </c>
      <c r="AU24" s="2213"/>
      <c r="AV24" s="2213"/>
      <c r="AW24" s="2213"/>
      <c r="AX24" s="2213"/>
      <c r="AY24" s="2214"/>
      <c r="AZ24" s="1204"/>
      <c r="BA24" s="1204"/>
      <c r="BB24" s="1204"/>
      <c r="BC24" s="1204"/>
      <c r="BD24" s="1204"/>
      <c r="BE24" s="1210"/>
    </row>
    <row r="25" spans="1:58" ht="15">
      <c r="A25" s="1204"/>
      <c r="B25" s="2215">
        <v>0.9</v>
      </c>
      <c r="C25" s="2216"/>
      <c r="D25" s="2216"/>
      <c r="E25" s="2216"/>
      <c r="F25" s="2216"/>
      <c r="G25" s="2216"/>
      <c r="H25" s="2216"/>
      <c r="I25" s="2217"/>
      <c r="J25" s="2209">
        <f t="shared" si="1"/>
        <v>0</v>
      </c>
      <c r="K25" s="2210"/>
      <c r="L25" s="2210"/>
      <c r="M25" s="2210"/>
      <c r="N25" s="2210"/>
      <c r="O25" s="2211"/>
      <c r="P25" s="2209" cm="1">
        <f t="array" ref="P25">SUMPRODUCT((Application!$B$714:$B$738 = 'CalHFA Addendum'!P$18)*(Application!$AC$714:$AC$738 = 'CalHFA Addendum'!$B25),Application!$G$714:$G$738)</f>
        <v>0</v>
      </c>
      <c r="Q25" s="2210"/>
      <c r="R25" s="2210"/>
      <c r="S25" s="2210"/>
      <c r="T25" s="2210"/>
      <c r="U25" s="2211"/>
      <c r="V25" s="2209" cm="1">
        <f t="array" ref="V25">SUMPRODUCT((Application!$B$714:$B$738 = 'CalHFA Addendum'!V$18)*(Application!$AC$714:$AC$738 = 'CalHFA Addendum'!$B25),Application!$G$714:$G$738)</f>
        <v>0</v>
      </c>
      <c r="W25" s="2210"/>
      <c r="X25" s="2210"/>
      <c r="Y25" s="2210"/>
      <c r="Z25" s="2210"/>
      <c r="AA25" s="2211"/>
      <c r="AB25" s="2209" cm="1">
        <f t="array" ref="AB25">SUMPRODUCT((Application!$B$714:$B$738 = 'CalHFA Addendum'!AB$18)*(Application!$AC$714:$AC$738 = 'CalHFA Addendum'!$B25),Application!$G$714:$G$738)</f>
        <v>0</v>
      </c>
      <c r="AC25" s="2210"/>
      <c r="AD25" s="2210"/>
      <c r="AE25" s="2210"/>
      <c r="AF25" s="2210"/>
      <c r="AG25" s="2211"/>
      <c r="AH25" s="2209" cm="1">
        <f t="array" ref="AH25">SUMPRODUCT((Application!$B$714:$B$738 = 'CalHFA Addendum'!AH$18)*(Application!$AC$714:$AC$738 = 'CalHFA Addendum'!$B25),Application!$G$714:$G$738)</f>
        <v>0</v>
      </c>
      <c r="AI25" s="2210"/>
      <c r="AJ25" s="2210"/>
      <c r="AK25" s="2210"/>
      <c r="AL25" s="2210"/>
      <c r="AM25" s="2211"/>
      <c r="AN25" s="2209" cm="1">
        <f t="array" ref="AN25">SUMPRODUCT((Application!$B$714:$B$738 = 'CalHFA Addendum'!AN$18)*(Application!$AC$714:$AC$738 = 'CalHFA Addendum'!$B25),Application!$G$714:$G$738)</f>
        <v>0</v>
      </c>
      <c r="AO25" s="2210"/>
      <c r="AP25" s="2210"/>
      <c r="AQ25" s="2210"/>
      <c r="AR25" s="2210"/>
      <c r="AS25" s="2211"/>
      <c r="AT25" s="2212">
        <f t="shared" si="0"/>
        <v>0</v>
      </c>
      <c r="AU25" s="2213"/>
      <c r="AV25" s="2213"/>
      <c r="AW25" s="2213"/>
      <c r="AX25" s="2213"/>
      <c r="AY25" s="2214"/>
      <c r="AZ25" s="1204"/>
      <c r="BA25" s="1204"/>
      <c r="BB25" s="1204"/>
      <c r="BC25" s="1204"/>
      <c r="BD25" s="1204"/>
      <c r="BE25" s="1210"/>
    </row>
    <row r="26" spans="1:58" ht="15">
      <c r="A26" s="1204"/>
      <c r="B26" s="2215">
        <v>1</v>
      </c>
      <c r="C26" s="2216"/>
      <c r="D26" s="2216"/>
      <c r="E26" s="2216"/>
      <c r="F26" s="2216"/>
      <c r="G26" s="2216"/>
      <c r="H26" s="2216"/>
      <c r="I26" s="2217"/>
      <c r="J26" s="2209">
        <f t="shared" si="1"/>
        <v>0</v>
      </c>
      <c r="K26" s="2210"/>
      <c r="L26" s="2210"/>
      <c r="M26" s="2210"/>
      <c r="N26" s="2210"/>
      <c r="O26" s="2211"/>
      <c r="P26" s="2209" cm="1">
        <f t="array" ref="P26">SUMPRODUCT((Application!$B$714:$B$738 = 'CalHFA Addendum'!P$18)*(Application!$AC$714:$AC$738 = 'CalHFA Addendum'!$B26),Application!$G$714:$G$738)</f>
        <v>0</v>
      </c>
      <c r="Q26" s="2210"/>
      <c r="R26" s="2210"/>
      <c r="S26" s="2210"/>
      <c r="T26" s="2210"/>
      <c r="U26" s="2211"/>
      <c r="V26" s="2209" cm="1">
        <f t="array" ref="V26">SUMPRODUCT((Application!$B$714:$B$738 = 'CalHFA Addendum'!V$18)*(Application!$AC$714:$AC$738 = 'CalHFA Addendum'!$B26),Application!$G$714:$G$738)</f>
        <v>0</v>
      </c>
      <c r="W26" s="2210"/>
      <c r="X26" s="2210"/>
      <c r="Y26" s="2210"/>
      <c r="Z26" s="2210"/>
      <c r="AA26" s="2211"/>
      <c r="AB26" s="2209" cm="1">
        <f t="array" ref="AB26">SUMPRODUCT((Application!$B$714:$B$738 = 'CalHFA Addendum'!AB$18)*(Application!$AC$714:$AC$738 = 'CalHFA Addendum'!$B26),Application!$G$714:$G$738)</f>
        <v>0</v>
      </c>
      <c r="AC26" s="2210"/>
      <c r="AD26" s="2210"/>
      <c r="AE26" s="2210"/>
      <c r="AF26" s="2210"/>
      <c r="AG26" s="2211"/>
      <c r="AH26" s="2209" cm="1">
        <f t="array" ref="AH26">SUMPRODUCT((Application!$B$714:$B$738 = 'CalHFA Addendum'!AH$18)*(Application!$AC$714:$AC$738 = 'CalHFA Addendum'!$B26),Application!$G$714:$G$738)</f>
        <v>0</v>
      </c>
      <c r="AI26" s="2210"/>
      <c r="AJ26" s="2210"/>
      <c r="AK26" s="2210"/>
      <c r="AL26" s="2210"/>
      <c r="AM26" s="2211"/>
      <c r="AN26" s="2209" cm="1">
        <f t="array" ref="AN26">SUMPRODUCT((Application!$B$714:$B$738 = 'CalHFA Addendum'!AN$18)*(Application!$AC$714:$AC$738 = 'CalHFA Addendum'!$B26),Application!$G$714:$G$738)</f>
        <v>0</v>
      </c>
      <c r="AO26" s="2210"/>
      <c r="AP26" s="2210"/>
      <c r="AQ26" s="2210"/>
      <c r="AR26" s="2210"/>
      <c r="AS26" s="2211"/>
      <c r="AT26" s="2212">
        <f t="shared" si="0"/>
        <v>0</v>
      </c>
      <c r="AU26" s="2213"/>
      <c r="AV26" s="2213"/>
      <c r="AW26" s="2213"/>
      <c r="AX26" s="2213"/>
      <c r="AY26" s="2214"/>
      <c r="AZ26" s="1204"/>
      <c r="BA26" s="1204"/>
      <c r="BB26" s="1204"/>
      <c r="BC26" s="1204"/>
      <c r="BD26" s="1204"/>
      <c r="BE26" s="1210"/>
    </row>
    <row r="27" spans="1:58" ht="15">
      <c r="A27" s="1204"/>
      <c r="B27" s="2215">
        <v>1.1000000000000001</v>
      </c>
      <c r="C27" s="2216"/>
      <c r="D27" s="2216"/>
      <c r="E27" s="2216"/>
      <c r="F27" s="2216"/>
      <c r="G27" s="2216"/>
      <c r="H27" s="2216"/>
      <c r="I27" s="2217"/>
      <c r="J27" s="2209">
        <f t="shared" si="1"/>
        <v>0</v>
      </c>
      <c r="K27" s="2210"/>
      <c r="L27" s="2210"/>
      <c r="M27" s="2210"/>
      <c r="N27" s="2210"/>
      <c r="O27" s="2211"/>
      <c r="P27" s="2209" cm="1">
        <f t="array" ref="P27">SUMPRODUCT((Application!$B$714:$B$738 = 'CalHFA Addendum'!P$18)*(Application!$AC$714:$AC$738 = 'CalHFA Addendum'!$B27),Application!$G$714:$G$738)</f>
        <v>0</v>
      </c>
      <c r="Q27" s="2210"/>
      <c r="R27" s="2210"/>
      <c r="S27" s="2210"/>
      <c r="T27" s="2210"/>
      <c r="U27" s="2211"/>
      <c r="V27" s="2209" cm="1">
        <f t="array" ref="V27">SUMPRODUCT((Application!$B$714:$B$738 = 'CalHFA Addendum'!V$18)*(Application!$AC$714:$AC$738 = 'CalHFA Addendum'!$B27),Application!$G$714:$G$738)</f>
        <v>0</v>
      </c>
      <c r="W27" s="2210"/>
      <c r="X27" s="2210"/>
      <c r="Y27" s="2210"/>
      <c r="Z27" s="2210"/>
      <c r="AA27" s="2211"/>
      <c r="AB27" s="2209" cm="1">
        <f t="array" ref="AB27">SUMPRODUCT((Application!$B$714:$B$738 = 'CalHFA Addendum'!AB$18)*(Application!$AC$714:$AC$738 = 'CalHFA Addendum'!$B27),Application!$G$714:$G$738)</f>
        <v>0</v>
      </c>
      <c r="AC27" s="2210"/>
      <c r="AD27" s="2210"/>
      <c r="AE27" s="2210"/>
      <c r="AF27" s="2210"/>
      <c r="AG27" s="2211"/>
      <c r="AH27" s="2209" cm="1">
        <f t="array" ref="AH27">SUMPRODUCT((Application!$B$714:$B$738 = 'CalHFA Addendum'!AH$18)*(Application!$AC$714:$AC$738 = 'CalHFA Addendum'!$B27),Application!$G$714:$G$738)</f>
        <v>0</v>
      </c>
      <c r="AI27" s="2210"/>
      <c r="AJ27" s="2210"/>
      <c r="AK27" s="2210"/>
      <c r="AL27" s="2210"/>
      <c r="AM27" s="2211"/>
      <c r="AN27" s="2209" cm="1">
        <f t="array" ref="AN27">SUMPRODUCT((Application!$B$714:$B$738 = 'CalHFA Addendum'!AN$18)*(Application!$AC$714:$AC$738 = 'CalHFA Addendum'!$B27),Application!$G$714:$G$738)</f>
        <v>0</v>
      </c>
      <c r="AO27" s="2210"/>
      <c r="AP27" s="2210"/>
      <c r="AQ27" s="2210"/>
      <c r="AR27" s="2210"/>
      <c r="AS27" s="2211"/>
      <c r="AT27" s="2212">
        <f t="shared" si="0"/>
        <v>0</v>
      </c>
      <c r="AU27" s="2213"/>
      <c r="AV27" s="2213"/>
      <c r="AW27" s="2213"/>
      <c r="AX27" s="2213"/>
      <c r="AY27" s="2214"/>
      <c r="AZ27" s="1204"/>
      <c r="BA27" s="1204"/>
      <c r="BB27" s="1204"/>
      <c r="BC27" s="1204"/>
      <c r="BD27" s="1204"/>
      <c r="BE27" s="1210"/>
    </row>
    <row r="28" spans="1:58" thickBot="1">
      <c r="A28" s="1204"/>
      <c r="B28" s="2218" t="s">
        <v>1868</v>
      </c>
      <c r="C28" s="2219"/>
      <c r="D28" s="2219"/>
      <c r="E28" s="2219"/>
      <c r="F28" s="2219"/>
      <c r="G28" s="2219"/>
      <c r="H28" s="2219"/>
      <c r="I28" s="2220"/>
      <c r="J28" s="2221">
        <f t="shared" si="1"/>
        <v>1</v>
      </c>
      <c r="K28" s="2222"/>
      <c r="L28" s="2222"/>
      <c r="M28" s="2222"/>
      <c r="N28" s="2222"/>
      <c r="O28" s="2223"/>
      <c r="P28" s="2221">
        <f>_xlfn.IFNA(VLOOKUP(P$18,Application!$J$758:$S$761,6,FALSE), 0)</f>
        <v>0</v>
      </c>
      <c r="Q28" s="2222"/>
      <c r="R28" s="2222"/>
      <c r="S28" s="2222"/>
      <c r="T28" s="2222"/>
      <c r="U28" s="2223"/>
      <c r="V28" s="2221">
        <f>_xlfn.IFNA(VLOOKUP(V$18,Application!$J$758:$S$761,6,FALSE), 0)</f>
        <v>0</v>
      </c>
      <c r="W28" s="2222"/>
      <c r="X28" s="2222"/>
      <c r="Y28" s="2222"/>
      <c r="Z28" s="2222"/>
      <c r="AA28" s="2223"/>
      <c r="AB28" s="2221">
        <f>_xlfn.IFNA(VLOOKUP(AB$18,Application!$J$758:$S$761,6,FALSE), 0)</f>
        <v>1</v>
      </c>
      <c r="AC28" s="2222"/>
      <c r="AD28" s="2222"/>
      <c r="AE28" s="2222"/>
      <c r="AF28" s="2222"/>
      <c r="AG28" s="2223"/>
      <c r="AH28" s="2221">
        <f>_xlfn.IFNA(VLOOKUP(AH$18,Application!$J$758:$S$761,6,FALSE), 0)</f>
        <v>0</v>
      </c>
      <c r="AI28" s="2222"/>
      <c r="AJ28" s="2222"/>
      <c r="AK28" s="2222"/>
      <c r="AL28" s="2222"/>
      <c r="AM28" s="2223"/>
      <c r="AN28" s="2221">
        <f>_xlfn.IFNA(VLOOKUP(AN$18,Application!$J$758:$S$761,6,FALSE), 0)</f>
        <v>0</v>
      </c>
      <c r="AO28" s="2222"/>
      <c r="AP28" s="2222"/>
      <c r="AQ28" s="2222"/>
      <c r="AR28" s="2222"/>
      <c r="AS28" s="2223"/>
      <c r="AT28" s="2224">
        <f t="shared" si="0"/>
        <v>5.1020408163265302E-3</v>
      </c>
      <c r="AU28" s="2225"/>
      <c r="AV28" s="2225"/>
      <c r="AW28" s="2225"/>
      <c r="AX28" s="2225"/>
      <c r="AY28" s="2226"/>
      <c r="AZ28" s="1204"/>
      <c r="BA28" s="1204"/>
      <c r="BB28" s="1204"/>
      <c r="BC28" s="1204"/>
      <c r="BD28" s="1204"/>
      <c r="BE28" s="1210"/>
    </row>
    <row r="29" spans="1:58" thickBot="1">
      <c r="A29" s="1204"/>
      <c r="B29" s="2249" t="s">
        <v>1765</v>
      </c>
      <c r="C29" s="2232"/>
      <c r="D29" s="2232"/>
      <c r="E29" s="2232"/>
      <c r="F29" s="2232"/>
      <c r="G29" s="2232"/>
      <c r="H29" s="2232"/>
      <c r="I29" s="2233"/>
      <c r="J29" s="2231">
        <f>SUM(J19:O28)</f>
        <v>196</v>
      </c>
      <c r="K29" s="2232"/>
      <c r="L29" s="2232"/>
      <c r="M29" s="2232"/>
      <c r="N29" s="2232"/>
      <c r="O29" s="2233"/>
      <c r="P29" s="2231">
        <f>SUM(P19:U28)</f>
        <v>0</v>
      </c>
      <c r="Q29" s="2232"/>
      <c r="R29" s="2232"/>
      <c r="S29" s="2232"/>
      <c r="T29" s="2232"/>
      <c r="U29" s="2233"/>
      <c r="V29" s="2231">
        <f>SUM(V19:AA28)</f>
        <v>40</v>
      </c>
      <c r="W29" s="2232"/>
      <c r="X29" s="2232"/>
      <c r="Y29" s="2232"/>
      <c r="Z29" s="2232"/>
      <c r="AA29" s="2233"/>
      <c r="AB29" s="2231">
        <f>SUM(AB19:AG28)</f>
        <v>78</v>
      </c>
      <c r="AC29" s="2232"/>
      <c r="AD29" s="2232"/>
      <c r="AE29" s="2232"/>
      <c r="AF29" s="2232"/>
      <c r="AG29" s="2233"/>
      <c r="AH29" s="2231">
        <f>SUM(AH19:AM28)</f>
        <v>78</v>
      </c>
      <c r="AI29" s="2232"/>
      <c r="AJ29" s="2232"/>
      <c r="AK29" s="2232"/>
      <c r="AL29" s="2232"/>
      <c r="AM29" s="2233"/>
      <c r="AN29" s="2231">
        <f>SUM(AN19:AS28)</f>
        <v>0</v>
      </c>
      <c r="AO29" s="2232"/>
      <c r="AP29" s="2232"/>
      <c r="AQ29" s="2232"/>
      <c r="AR29" s="2232"/>
      <c r="AS29" s="2233"/>
      <c r="AT29" s="2234">
        <f>J29/$J$29</f>
        <v>1</v>
      </c>
      <c r="AU29" s="2235"/>
      <c r="AV29" s="2235"/>
      <c r="AW29" s="2235"/>
      <c r="AX29" s="2235"/>
      <c r="AY29" s="2236"/>
      <c r="AZ29" s="1204"/>
      <c r="BA29" s="1204"/>
      <c r="BB29" s="1204"/>
      <c r="BC29" s="1204"/>
      <c r="BD29" s="1204"/>
      <c r="BE29" s="1210"/>
    </row>
    <row r="30" spans="1:58" thickBot="1">
      <c r="A30" s="1203"/>
      <c r="B30" s="1204"/>
      <c r="C30" s="1204"/>
      <c r="D30" s="1204"/>
      <c r="E30" s="1204"/>
      <c r="F30" s="1204"/>
      <c r="G30" s="1204"/>
      <c r="H30" s="1204"/>
      <c r="I30" s="1204"/>
      <c r="J30" s="1204"/>
      <c r="K30" s="1204"/>
      <c r="L30" s="1204"/>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4"/>
      <c r="AU30" s="1204"/>
      <c r="AV30" s="1204"/>
      <c r="AW30" s="1204"/>
      <c r="AX30" s="1204"/>
      <c r="AY30" s="1204"/>
      <c r="AZ30" s="1204"/>
      <c r="BA30" s="1204"/>
      <c r="BB30" s="1204"/>
      <c r="BC30" s="1204"/>
      <c r="BD30" s="1204"/>
      <c r="BE30" s="1210"/>
    </row>
    <row r="31" spans="1:58" ht="15">
      <c r="A31" s="1204"/>
      <c r="B31" s="2237" t="s">
        <v>1869</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9"/>
      <c r="BA31" s="1204"/>
      <c r="BB31" s="1204"/>
      <c r="BC31" s="1204"/>
      <c r="BD31" s="1204"/>
      <c r="BE31" s="1210"/>
    </row>
    <row r="32" spans="1:58" ht="15">
      <c r="A32" s="1204"/>
      <c r="B32" s="2240" t="s">
        <v>2574</v>
      </c>
      <c r="C32" s="2241"/>
      <c r="D32" s="2241"/>
      <c r="E32" s="2241"/>
      <c r="F32" s="2241"/>
      <c r="G32" s="2241"/>
      <c r="H32" s="2241"/>
      <c r="I32" s="2241"/>
      <c r="J32" s="2243" t="s">
        <v>2575</v>
      </c>
      <c r="K32" s="2244"/>
      <c r="L32" s="2244"/>
      <c r="M32" s="2244"/>
      <c r="N32" s="2243" t="s">
        <v>1870</v>
      </c>
      <c r="O32" s="2244"/>
      <c r="P32" s="2244"/>
      <c r="Q32" s="2244"/>
      <c r="R32" s="2245" t="s">
        <v>1871</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6"/>
      <c r="BA32" s="1204"/>
      <c r="BB32" s="1204"/>
      <c r="BC32" s="1204"/>
      <c r="BD32" s="1204"/>
      <c r="BE32" s="1210"/>
    </row>
    <row r="33" spans="1:58" ht="15" customHeight="1">
      <c r="A33" s="1204"/>
      <c r="B33" s="2242"/>
      <c r="C33" s="2241"/>
      <c r="D33" s="2241"/>
      <c r="E33" s="2241"/>
      <c r="F33" s="2241"/>
      <c r="G33" s="2241"/>
      <c r="H33" s="2241"/>
      <c r="I33" s="2241"/>
      <c r="J33" s="2244"/>
      <c r="K33" s="2244"/>
      <c r="L33" s="2244"/>
      <c r="M33" s="2244"/>
      <c r="N33" s="2244"/>
      <c r="O33" s="2244"/>
      <c r="P33" s="2244"/>
      <c r="Q33" s="2244"/>
      <c r="R33" s="2247" t="s">
        <v>1872</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8"/>
      <c r="BA33" s="1211"/>
      <c r="BB33" s="1204"/>
      <c r="BC33" s="1204"/>
      <c r="BD33" s="1204"/>
      <c r="BE33" s="1210"/>
    </row>
    <row r="34" spans="1:58" ht="15.75" customHeight="1">
      <c r="A34" s="1204"/>
      <c r="B34" s="2242"/>
      <c r="C34" s="2241"/>
      <c r="D34" s="2241"/>
      <c r="E34" s="2241"/>
      <c r="F34" s="2241"/>
      <c r="G34" s="2241"/>
      <c r="H34" s="2241"/>
      <c r="I34" s="2241"/>
      <c r="J34" s="2244"/>
      <c r="K34" s="2244"/>
      <c r="L34" s="2244"/>
      <c r="M34" s="2244"/>
      <c r="N34" s="2244"/>
      <c r="O34" s="2244"/>
      <c r="P34" s="2244"/>
      <c r="Q34" s="2244"/>
      <c r="R34" s="2243"/>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8"/>
      <c r="BA34" s="1211"/>
      <c r="BB34" s="1204"/>
      <c r="BC34" s="1204"/>
      <c r="BD34" s="1204"/>
      <c r="BE34" s="1210"/>
    </row>
    <row r="35" spans="1:58" ht="15.75" customHeight="1">
      <c r="A35" s="1204"/>
      <c r="B35" s="2242"/>
      <c r="C35" s="2241"/>
      <c r="D35" s="2241"/>
      <c r="E35" s="2241"/>
      <c r="F35" s="2241"/>
      <c r="G35" s="2241"/>
      <c r="H35" s="2241"/>
      <c r="I35" s="2241"/>
      <c r="J35" s="2244"/>
      <c r="K35" s="2244"/>
      <c r="L35" s="2244"/>
      <c r="M35" s="2244"/>
      <c r="N35" s="2244"/>
      <c r="O35" s="2244"/>
      <c r="P35" s="2244"/>
      <c r="Q35" s="2244"/>
      <c r="R35" s="2227">
        <v>0.3</v>
      </c>
      <c r="S35" s="2227"/>
      <c r="T35" s="2227"/>
      <c r="U35" s="2227"/>
      <c r="V35" s="2227">
        <v>0.4</v>
      </c>
      <c r="W35" s="2227"/>
      <c r="X35" s="2227"/>
      <c r="Y35" s="2227"/>
      <c r="Z35" s="2227">
        <v>0.5</v>
      </c>
      <c r="AA35" s="2227"/>
      <c r="AB35" s="2227"/>
      <c r="AC35" s="2227"/>
      <c r="AD35" s="2227">
        <v>0.6</v>
      </c>
      <c r="AE35" s="2227"/>
      <c r="AF35" s="2227"/>
      <c r="AG35" s="2227"/>
      <c r="AH35" s="2227">
        <v>0.8</v>
      </c>
      <c r="AI35" s="2227"/>
      <c r="AJ35" s="2227"/>
      <c r="AK35" s="2227"/>
      <c r="AL35" s="2228">
        <v>1</v>
      </c>
      <c r="AM35" s="2228"/>
      <c r="AN35" s="2228"/>
      <c r="AO35" s="2229" t="s">
        <v>1873</v>
      </c>
      <c r="AP35" s="2229"/>
      <c r="AQ35" s="2229"/>
      <c r="AR35" s="2229"/>
      <c r="AS35" s="2229"/>
      <c r="AT35" s="2229"/>
      <c r="AU35" s="2229" t="s">
        <v>1874</v>
      </c>
      <c r="AV35" s="2229"/>
      <c r="AW35" s="2229"/>
      <c r="AX35" s="2229"/>
      <c r="AY35" s="2229"/>
      <c r="AZ35" s="2230"/>
      <c r="BA35" s="1211"/>
      <c r="BB35" s="1204"/>
      <c r="BC35" s="1204"/>
      <c r="BD35" s="1204"/>
      <c r="BE35" s="1210"/>
      <c r="BF35" s="1202"/>
    </row>
    <row r="36" spans="1:58" ht="15.75" customHeight="1">
      <c r="A36" s="1204"/>
      <c r="B36" s="2250" t="s">
        <v>1875</v>
      </c>
      <c r="C36" s="2251"/>
      <c r="D36" s="2251"/>
      <c r="E36" s="2251"/>
      <c r="F36" s="2251"/>
      <c r="G36" s="2251"/>
      <c r="H36" s="2251"/>
      <c r="I36" s="2251"/>
      <c r="J36" s="2252" t="s">
        <v>1876</v>
      </c>
      <c r="K36" s="2252"/>
      <c r="L36" s="2252"/>
      <c r="M36" s="2252"/>
      <c r="N36" s="2252">
        <v>55</v>
      </c>
      <c r="O36" s="2252"/>
      <c r="P36" s="2252"/>
      <c r="Q36" s="2252"/>
      <c r="R36" s="2253"/>
      <c r="S36" s="2253"/>
      <c r="T36" s="2253"/>
      <c r="U36" s="2253"/>
      <c r="V36" s="2253"/>
      <c r="W36" s="2253"/>
      <c r="X36" s="2253"/>
      <c r="Y36" s="2253"/>
      <c r="Z36" s="2253">
        <v>20</v>
      </c>
      <c r="AA36" s="2253"/>
      <c r="AB36" s="2253"/>
      <c r="AC36" s="2253"/>
      <c r="AD36" s="2253">
        <v>59</v>
      </c>
      <c r="AE36" s="2253"/>
      <c r="AF36" s="2253"/>
      <c r="AG36" s="2253"/>
      <c r="AH36" s="2253"/>
      <c r="AI36" s="2253"/>
      <c r="AJ36" s="2253"/>
      <c r="AK36" s="2253"/>
      <c r="AL36" s="2253"/>
      <c r="AM36" s="2253"/>
      <c r="AN36" s="2253"/>
      <c r="AO36" s="2254">
        <f>SUM(R36:AN36)</f>
        <v>79</v>
      </c>
      <c r="AP36" s="2254"/>
      <c r="AQ36" s="2254"/>
      <c r="AR36" s="2254"/>
      <c r="AS36" s="2254"/>
      <c r="AT36" s="2254"/>
      <c r="AU36" s="2255">
        <f>AO36/$J$29</f>
        <v>0.40306122448979592</v>
      </c>
      <c r="AV36" s="2255"/>
      <c r="AW36" s="2255"/>
      <c r="AX36" s="2255"/>
      <c r="AY36" s="2255"/>
      <c r="AZ36" s="2256"/>
      <c r="BA36" s="1204"/>
      <c r="BB36" s="1204"/>
      <c r="BC36" s="1204"/>
      <c r="BD36" s="1204"/>
      <c r="BE36" s="1210"/>
      <c r="BF36" s="1202"/>
    </row>
    <row r="37" spans="1:58" ht="15.75" customHeight="1">
      <c r="A37" s="1204"/>
      <c r="B37" s="2250" t="s">
        <v>2576</v>
      </c>
      <c r="C37" s="2251"/>
      <c r="D37" s="2251"/>
      <c r="E37" s="2251"/>
      <c r="F37" s="2251"/>
      <c r="G37" s="2251"/>
      <c r="H37" s="2251"/>
      <c r="I37" s="2251"/>
      <c r="J37" s="2252" t="s">
        <v>1877</v>
      </c>
      <c r="K37" s="2252"/>
      <c r="L37" s="2252"/>
      <c r="M37" s="2252"/>
      <c r="N37" s="2252">
        <v>55</v>
      </c>
      <c r="O37" s="2252"/>
      <c r="P37" s="2252"/>
      <c r="Q37" s="2252"/>
      <c r="R37" s="2253"/>
      <c r="S37" s="2253"/>
      <c r="T37" s="2253"/>
      <c r="U37" s="2253"/>
      <c r="V37" s="2253"/>
      <c r="W37" s="2253"/>
      <c r="X37" s="2253"/>
      <c r="Y37" s="2253"/>
      <c r="Z37" s="2253">
        <v>40</v>
      </c>
      <c r="AA37" s="2253"/>
      <c r="AB37" s="2253"/>
      <c r="AC37" s="2253"/>
      <c r="AD37" s="2253"/>
      <c r="AE37" s="2253"/>
      <c r="AF37" s="2253"/>
      <c r="AG37" s="2253"/>
      <c r="AH37" s="2253">
        <v>20</v>
      </c>
      <c r="AI37" s="2253"/>
      <c r="AJ37" s="2253"/>
      <c r="AK37" s="2253"/>
      <c r="AL37" s="2253">
        <f>195-AH37-Z37</f>
        <v>135</v>
      </c>
      <c r="AM37" s="2253"/>
      <c r="AN37" s="2253"/>
      <c r="AO37" s="2254">
        <f t="shared" ref="AO37:AO47" si="2">SUM(R37:AN37)</f>
        <v>195</v>
      </c>
      <c r="AP37" s="2254"/>
      <c r="AQ37" s="2254"/>
      <c r="AR37" s="2254"/>
      <c r="AS37" s="2254"/>
      <c r="AT37" s="2254"/>
      <c r="AU37" s="2255">
        <f t="shared" ref="AU37:AU47" si="3">AO37/$J$29</f>
        <v>0.99489795918367352</v>
      </c>
      <c r="AV37" s="2255"/>
      <c r="AW37" s="2255"/>
      <c r="AX37" s="2255"/>
      <c r="AY37" s="2255"/>
      <c r="AZ37" s="2256"/>
      <c r="BA37" s="1204"/>
      <c r="BB37" s="1204"/>
      <c r="BC37" s="1204"/>
      <c r="BD37" s="1204"/>
      <c r="BE37" s="1210"/>
      <c r="BF37" s="1202"/>
    </row>
    <row r="38" spans="1:58" ht="15.75" customHeight="1">
      <c r="A38" s="1204"/>
      <c r="B38" s="2250" t="s">
        <v>2514</v>
      </c>
      <c r="C38" s="2251"/>
      <c r="D38" s="2251"/>
      <c r="E38" s="2251"/>
      <c r="F38" s="2251"/>
      <c r="G38" s="2251"/>
      <c r="H38" s="2251"/>
      <c r="I38" s="2251"/>
      <c r="J38" s="2252" t="s">
        <v>1878</v>
      </c>
      <c r="K38" s="2252"/>
      <c r="L38" s="2252"/>
      <c r="M38" s="2252"/>
      <c r="N38" s="2252">
        <v>55</v>
      </c>
      <c r="O38" s="2252"/>
      <c r="P38" s="2252"/>
      <c r="Q38" s="2252"/>
      <c r="R38" s="2253">
        <v>20</v>
      </c>
      <c r="S38" s="2253"/>
      <c r="T38" s="2253"/>
      <c r="U38" s="2253"/>
      <c r="V38" s="2253"/>
      <c r="W38" s="2253"/>
      <c r="X38" s="2253"/>
      <c r="Y38" s="2253"/>
      <c r="Z38" s="2253">
        <v>29</v>
      </c>
      <c r="AA38" s="2253"/>
      <c r="AB38" s="2253"/>
      <c r="AC38" s="2253"/>
      <c r="AD38" s="2253">
        <v>59</v>
      </c>
      <c r="AE38" s="2253"/>
      <c r="AF38" s="2253"/>
      <c r="AG38" s="2253"/>
      <c r="AH38" s="2253">
        <v>87</v>
      </c>
      <c r="AI38" s="2253"/>
      <c r="AJ38" s="2253"/>
      <c r="AK38" s="2253"/>
      <c r="AL38" s="2253"/>
      <c r="AM38" s="2253"/>
      <c r="AN38" s="2253"/>
      <c r="AO38" s="2254">
        <f t="shared" si="2"/>
        <v>195</v>
      </c>
      <c r="AP38" s="2254"/>
      <c r="AQ38" s="2254"/>
      <c r="AR38" s="2254"/>
      <c r="AS38" s="2254"/>
      <c r="AT38" s="2254"/>
      <c r="AU38" s="2255">
        <f t="shared" si="3"/>
        <v>0.99489795918367352</v>
      </c>
      <c r="AV38" s="2255"/>
      <c r="AW38" s="2255"/>
      <c r="AX38" s="2255"/>
      <c r="AY38" s="2255"/>
      <c r="AZ38" s="2256"/>
      <c r="BA38" s="1204"/>
      <c r="BB38" s="1204"/>
      <c r="BC38" s="1204"/>
      <c r="BD38" s="1204"/>
      <c r="BE38" s="1210"/>
      <c r="BF38" s="1202"/>
    </row>
    <row r="39" spans="1:58" ht="15.75" customHeight="1">
      <c r="A39" s="1204"/>
      <c r="B39" s="2250" t="s">
        <v>1879</v>
      </c>
      <c r="C39" s="2251"/>
      <c r="D39" s="2251"/>
      <c r="E39" s="2251"/>
      <c r="F39" s="2251"/>
      <c r="G39" s="2251"/>
      <c r="H39" s="2251"/>
      <c r="I39" s="2251"/>
      <c r="J39" s="2252"/>
      <c r="K39" s="2252"/>
      <c r="L39" s="2252"/>
      <c r="M39" s="2252"/>
      <c r="N39" s="2252"/>
      <c r="O39" s="2252"/>
      <c r="P39" s="2252"/>
      <c r="Q39" s="2252"/>
      <c r="R39" s="2253"/>
      <c r="S39" s="2253"/>
      <c r="T39" s="2253"/>
      <c r="U39" s="2253"/>
      <c r="V39" s="2253"/>
      <c r="W39" s="2253"/>
      <c r="X39" s="2253"/>
      <c r="Y39" s="2253"/>
      <c r="Z39" s="2253"/>
      <c r="AA39" s="2253"/>
      <c r="AB39" s="2253"/>
      <c r="AC39" s="2253"/>
      <c r="AD39" s="2253"/>
      <c r="AE39" s="2253"/>
      <c r="AF39" s="2253"/>
      <c r="AG39" s="2253"/>
      <c r="AH39" s="2253"/>
      <c r="AI39" s="2253"/>
      <c r="AJ39" s="2253"/>
      <c r="AK39" s="2253"/>
      <c r="AL39" s="2253"/>
      <c r="AM39" s="2253"/>
      <c r="AN39" s="2253"/>
      <c r="AO39" s="2254">
        <f t="shared" si="2"/>
        <v>0</v>
      </c>
      <c r="AP39" s="2254"/>
      <c r="AQ39" s="2254"/>
      <c r="AR39" s="2254"/>
      <c r="AS39" s="2254"/>
      <c r="AT39" s="2254"/>
      <c r="AU39" s="2255">
        <f t="shared" si="3"/>
        <v>0</v>
      </c>
      <c r="AV39" s="2255"/>
      <c r="AW39" s="2255"/>
      <c r="AX39" s="2255"/>
      <c r="AY39" s="2255"/>
      <c r="AZ39" s="2256"/>
      <c r="BA39" s="1204"/>
      <c r="BB39" s="1204"/>
      <c r="BC39" s="1204"/>
      <c r="BD39" s="1204"/>
      <c r="BE39" s="1210"/>
    </row>
    <row r="40" spans="1:58" ht="15.75" customHeight="1">
      <c r="A40" s="1204"/>
      <c r="B40" s="2250" t="s">
        <v>1879</v>
      </c>
      <c r="C40" s="2251"/>
      <c r="D40" s="2251"/>
      <c r="E40" s="2251"/>
      <c r="F40" s="2251"/>
      <c r="G40" s="2251"/>
      <c r="H40" s="2251"/>
      <c r="I40" s="2251"/>
      <c r="J40" s="2252"/>
      <c r="K40" s="2252"/>
      <c r="L40" s="2252"/>
      <c r="M40" s="2252"/>
      <c r="N40" s="2252"/>
      <c r="O40" s="2252"/>
      <c r="P40" s="2252"/>
      <c r="Q40" s="2252"/>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c r="AN40" s="2253"/>
      <c r="AO40" s="2254">
        <f t="shared" si="2"/>
        <v>0</v>
      </c>
      <c r="AP40" s="2254"/>
      <c r="AQ40" s="2254"/>
      <c r="AR40" s="2254"/>
      <c r="AS40" s="2254"/>
      <c r="AT40" s="2254"/>
      <c r="AU40" s="2255">
        <f t="shared" si="3"/>
        <v>0</v>
      </c>
      <c r="AV40" s="2255"/>
      <c r="AW40" s="2255"/>
      <c r="AX40" s="2255"/>
      <c r="AY40" s="2255"/>
      <c r="AZ40" s="2256"/>
      <c r="BA40" s="1204"/>
      <c r="BB40" s="1204"/>
      <c r="BC40" s="1204"/>
      <c r="BD40" s="1204"/>
      <c r="BE40" s="1210"/>
    </row>
    <row r="41" spans="1:58" ht="15.75" customHeight="1">
      <c r="A41" s="1204"/>
      <c r="B41" s="2250" t="s">
        <v>1880</v>
      </c>
      <c r="C41" s="2251"/>
      <c r="D41" s="2251"/>
      <c r="E41" s="2251"/>
      <c r="F41" s="2251"/>
      <c r="G41" s="2251"/>
      <c r="H41" s="2251"/>
      <c r="I41" s="2251"/>
      <c r="J41" s="2252"/>
      <c r="K41" s="2252"/>
      <c r="L41" s="2252"/>
      <c r="M41" s="2252"/>
      <c r="N41" s="2252"/>
      <c r="O41" s="2252"/>
      <c r="P41" s="2252"/>
      <c r="Q41" s="2252"/>
      <c r="R41" s="2253"/>
      <c r="S41" s="2253"/>
      <c r="T41" s="2253"/>
      <c r="U41" s="2253"/>
      <c r="V41" s="2253"/>
      <c r="W41" s="2253"/>
      <c r="X41" s="2253"/>
      <c r="Y41" s="2253"/>
      <c r="Z41" s="2253"/>
      <c r="AA41" s="2253"/>
      <c r="AB41" s="2253"/>
      <c r="AC41" s="2253"/>
      <c r="AD41" s="2253"/>
      <c r="AE41" s="2253"/>
      <c r="AF41" s="2253"/>
      <c r="AG41" s="2253"/>
      <c r="AH41" s="2253"/>
      <c r="AI41" s="2253"/>
      <c r="AJ41" s="2253"/>
      <c r="AK41" s="2253"/>
      <c r="AL41" s="2253"/>
      <c r="AM41" s="2253"/>
      <c r="AN41" s="2253"/>
      <c r="AO41" s="2254">
        <f t="shared" si="2"/>
        <v>0</v>
      </c>
      <c r="AP41" s="2254"/>
      <c r="AQ41" s="2254"/>
      <c r="AR41" s="2254"/>
      <c r="AS41" s="2254"/>
      <c r="AT41" s="2254"/>
      <c r="AU41" s="2255">
        <f t="shared" si="3"/>
        <v>0</v>
      </c>
      <c r="AV41" s="2255"/>
      <c r="AW41" s="2255"/>
      <c r="AX41" s="2255"/>
      <c r="AY41" s="2255"/>
      <c r="AZ41" s="2256"/>
      <c r="BA41" s="1204"/>
      <c r="BB41" s="1204"/>
      <c r="BC41" s="1204"/>
      <c r="BD41" s="1204"/>
      <c r="BE41" s="1210"/>
    </row>
    <row r="42" spans="1:58" ht="15.75" customHeight="1">
      <c r="A42" s="1204"/>
      <c r="B42" s="2250" t="s">
        <v>1880</v>
      </c>
      <c r="C42" s="2251"/>
      <c r="D42" s="2251"/>
      <c r="E42" s="2251"/>
      <c r="F42" s="2251"/>
      <c r="G42" s="2251"/>
      <c r="H42" s="2251"/>
      <c r="I42" s="2251"/>
      <c r="J42" s="2252"/>
      <c r="K42" s="2252"/>
      <c r="L42" s="2252"/>
      <c r="M42" s="2252"/>
      <c r="N42" s="2252"/>
      <c r="O42" s="2252"/>
      <c r="P42" s="2252"/>
      <c r="Q42" s="2252"/>
      <c r="R42" s="2253"/>
      <c r="S42" s="2253"/>
      <c r="T42" s="2253"/>
      <c r="U42" s="2253"/>
      <c r="V42" s="2253"/>
      <c r="W42" s="2253"/>
      <c r="X42" s="2253"/>
      <c r="Y42" s="2253"/>
      <c r="Z42" s="2253"/>
      <c r="AA42" s="2253"/>
      <c r="AB42" s="2253"/>
      <c r="AC42" s="2253"/>
      <c r="AD42" s="2253"/>
      <c r="AE42" s="2253"/>
      <c r="AF42" s="2253"/>
      <c r="AG42" s="2253"/>
      <c r="AH42" s="2253"/>
      <c r="AI42" s="2253"/>
      <c r="AJ42" s="2253"/>
      <c r="AK42" s="2253"/>
      <c r="AL42" s="2253"/>
      <c r="AM42" s="2253"/>
      <c r="AN42" s="2253"/>
      <c r="AO42" s="2254">
        <f t="shared" si="2"/>
        <v>0</v>
      </c>
      <c r="AP42" s="2254"/>
      <c r="AQ42" s="2254"/>
      <c r="AR42" s="2254"/>
      <c r="AS42" s="2254"/>
      <c r="AT42" s="2254"/>
      <c r="AU42" s="2255">
        <f t="shared" si="3"/>
        <v>0</v>
      </c>
      <c r="AV42" s="2255"/>
      <c r="AW42" s="2255"/>
      <c r="AX42" s="2255"/>
      <c r="AY42" s="2255"/>
      <c r="AZ42" s="2256"/>
      <c r="BA42" s="1204"/>
      <c r="BB42" s="1204"/>
      <c r="BC42" s="1204"/>
      <c r="BD42" s="1204"/>
      <c r="BE42" s="1210"/>
    </row>
    <row r="43" spans="1:58" ht="15.75" customHeight="1">
      <c r="A43" s="1204"/>
      <c r="B43" s="2257" t="s">
        <v>1881</v>
      </c>
      <c r="C43" s="2258"/>
      <c r="D43" s="2258"/>
      <c r="E43" s="2258"/>
      <c r="F43" s="2258"/>
      <c r="G43" s="2258"/>
      <c r="H43" s="2258"/>
      <c r="I43" s="2258"/>
      <c r="J43" s="2252"/>
      <c r="K43" s="2252"/>
      <c r="L43" s="2252"/>
      <c r="M43" s="2252"/>
      <c r="N43" s="2252"/>
      <c r="O43" s="2252"/>
      <c r="P43" s="2252"/>
      <c r="Q43" s="2252"/>
      <c r="R43" s="2253"/>
      <c r="S43" s="2253"/>
      <c r="T43" s="2253"/>
      <c r="U43" s="2253"/>
      <c r="V43" s="2253"/>
      <c r="W43" s="2253"/>
      <c r="X43" s="2253"/>
      <c r="Y43" s="2253"/>
      <c r="Z43" s="2253"/>
      <c r="AA43" s="2253"/>
      <c r="AB43" s="2253"/>
      <c r="AC43" s="2253"/>
      <c r="AD43" s="2253"/>
      <c r="AE43" s="2253"/>
      <c r="AF43" s="2253"/>
      <c r="AG43" s="2253"/>
      <c r="AH43" s="2253"/>
      <c r="AI43" s="2253"/>
      <c r="AJ43" s="2253"/>
      <c r="AK43" s="2253"/>
      <c r="AL43" s="2253"/>
      <c r="AM43" s="2253"/>
      <c r="AN43" s="2253"/>
      <c r="AO43" s="2254">
        <f t="shared" si="2"/>
        <v>0</v>
      </c>
      <c r="AP43" s="2254"/>
      <c r="AQ43" s="2254"/>
      <c r="AR43" s="2254"/>
      <c r="AS43" s="2254"/>
      <c r="AT43" s="2254"/>
      <c r="AU43" s="2255">
        <f t="shared" si="3"/>
        <v>0</v>
      </c>
      <c r="AV43" s="2255"/>
      <c r="AW43" s="2255"/>
      <c r="AX43" s="2255"/>
      <c r="AY43" s="2255"/>
      <c r="AZ43" s="2256"/>
      <c r="BA43" s="1204"/>
      <c r="BB43" s="1204"/>
      <c r="BC43" s="1204"/>
      <c r="BD43" s="1204"/>
      <c r="BE43" s="1210"/>
    </row>
    <row r="44" spans="1:58" ht="15.75" customHeight="1">
      <c r="A44" s="1204"/>
      <c r="B44" s="2257" t="s">
        <v>1882</v>
      </c>
      <c r="C44" s="2258"/>
      <c r="D44" s="2258"/>
      <c r="E44" s="2258"/>
      <c r="F44" s="2258"/>
      <c r="G44" s="2258"/>
      <c r="H44" s="2258"/>
      <c r="I44" s="2258"/>
      <c r="J44" s="2252"/>
      <c r="K44" s="2252"/>
      <c r="L44" s="2252"/>
      <c r="M44" s="2252"/>
      <c r="N44" s="2252"/>
      <c r="O44" s="2252"/>
      <c r="P44" s="2252"/>
      <c r="Q44" s="2252"/>
      <c r="R44" s="2253"/>
      <c r="S44" s="2253"/>
      <c r="T44" s="2253"/>
      <c r="U44" s="2253"/>
      <c r="V44" s="2253"/>
      <c r="W44" s="2253"/>
      <c r="X44" s="2253"/>
      <c r="Y44" s="2253"/>
      <c r="Z44" s="2253"/>
      <c r="AA44" s="2253"/>
      <c r="AB44" s="2253"/>
      <c r="AC44" s="2253"/>
      <c r="AD44" s="2253"/>
      <c r="AE44" s="2253"/>
      <c r="AF44" s="2253"/>
      <c r="AG44" s="2253"/>
      <c r="AH44" s="2253"/>
      <c r="AI44" s="2253"/>
      <c r="AJ44" s="2253"/>
      <c r="AK44" s="2253"/>
      <c r="AL44" s="2253"/>
      <c r="AM44" s="2253"/>
      <c r="AN44" s="2253"/>
      <c r="AO44" s="2254">
        <f t="shared" si="2"/>
        <v>0</v>
      </c>
      <c r="AP44" s="2254"/>
      <c r="AQ44" s="2254"/>
      <c r="AR44" s="2254"/>
      <c r="AS44" s="2254"/>
      <c r="AT44" s="2254"/>
      <c r="AU44" s="2255">
        <f t="shared" si="3"/>
        <v>0</v>
      </c>
      <c r="AV44" s="2255"/>
      <c r="AW44" s="2255"/>
      <c r="AX44" s="2255"/>
      <c r="AY44" s="2255"/>
      <c r="AZ44" s="2256"/>
      <c r="BA44" s="1204"/>
      <c r="BB44" s="1204"/>
      <c r="BC44" s="1204"/>
      <c r="BD44" s="1204"/>
      <c r="BE44" s="1210"/>
    </row>
    <row r="45" spans="1:58" ht="15.75" customHeight="1">
      <c r="A45" s="1204"/>
      <c r="B45" s="2257" t="s">
        <v>1883</v>
      </c>
      <c r="C45" s="2258"/>
      <c r="D45" s="2258"/>
      <c r="E45" s="2258"/>
      <c r="F45" s="2258"/>
      <c r="G45" s="2258"/>
      <c r="H45" s="2258"/>
      <c r="I45" s="2258"/>
      <c r="J45" s="2252"/>
      <c r="K45" s="2252"/>
      <c r="L45" s="2252"/>
      <c r="M45" s="2252"/>
      <c r="N45" s="2252"/>
      <c r="O45" s="2252"/>
      <c r="P45" s="2252"/>
      <c r="Q45" s="2252"/>
      <c r="R45" s="2253"/>
      <c r="S45" s="2253"/>
      <c r="T45" s="2253"/>
      <c r="U45" s="2253"/>
      <c r="V45" s="2253"/>
      <c r="W45" s="2253"/>
      <c r="X45" s="2253"/>
      <c r="Y45" s="2253"/>
      <c r="Z45" s="2253"/>
      <c r="AA45" s="2253"/>
      <c r="AB45" s="2253"/>
      <c r="AC45" s="2253"/>
      <c r="AD45" s="2253"/>
      <c r="AE45" s="2253"/>
      <c r="AF45" s="2253"/>
      <c r="AG45" s="2253"/>
      <c r="AH45" s="2253"/>
      <c r="AI45" s="2253"/>
      <c r="AJ45" s="2253"/>
      <c r="AK45" s="2253"/>
      <c r="AL45" s="2253"/>
      <c r="AM45" s="2253"/>
      <c r="AN45" s="2253"/>
      <c r="AO45" s="2254">
        <f t="shared" si="2"/>
        <v>0</v>
      </c>
      <c r="AP45" s="2254"/>
      <c r="AQ45" s="2254"/>
      <c r="AR45" s="2254"/>
      <c r="AS45" s="2254"/>
      <c r="AT45" s="2254"/>
      <c r="AU45" s="2255">
        <f t="shared" si="3"/>
        <v>0</v>
      </c>
      <c r="AV45" s="2255"/>
      <c r="AW45" s="2255"/>
      <c r="AX45" s="2255"/>
      <c r="AY45" s="2255"/>
      <c r="AZ45" s="2256"/>
      <c r="BA45" s="1204"/>
      <c r="BB45" s="1204"/>
      <c r="BC45" s="1204"/>
      <c r="BD45" s="1204"/>
      <c r="BE45" s="1210"/>
    </row>
    <row r="46" spans="1:58" ht="15.75" customHeight="1">
      <c r="A46" s="1204"/>
      <c r="B46" s="2257" t="s">
        <v>1884</v>
      </c>
      <c r="C46" s="2258"/>
      <c r="D46" s="2258"/>
      <c r="E46" s="2258"/>
      <c r="F46" s="2258"/>
      <c r="G46" s="2258"/>
      <c r="H46" s="2258"/>
      <c r="I46" s="2258"/>
      <c r="J46" s="2252"/>
      <c r="K46" s="2252"/>
      <c r="L46" s="2252"/>
      <c r="M46" s="2252"/>
      <c r="N46" s="2252">
        <v>99</v>
      </c>
      <c r="O46" s="2252"/>
      <c r="P46" s="2252"/>
      <c r="Q46" s="2252"/>
      <c r="R46" s="2253"/>
      <c r="S46" s="2253"/>
      <c r="T46" s="2253"/>
      <c r="U46" s="2253"/>
      <c r="V46" s="2253"/>
      <c r="W46" s="2253"/>
      <c r="X46" s="2253"/>
      <c r="Y46" s="2253"/>
      <c r="Z46" s="2253"/>
      <c r="AA46" s="2253"/>
      <c r="AB46" s="2253"/>
      <c r="AC46" s="2253"/>
      <c r="AD46" s="2253"/>
      <c r="AE46" s="2253"/>
      <c r="AF46" s="2253"/>
      <c r="AG46" s="2253"/>
      <c r="AH46" s="2253"/>
      <c r="AI46" s="2253"/>
      <c r="AJ46" s="2253"/>
      <c r="AK46" s="2253"/>
      <c r="AL46" s="2253"/>
      <c r="AM46" s="2253"/>
      <c r="AN46" s="2253"/>
      <c r="AO46" s="2254">
        <f t="shared" si="2"/>
        <v>0</v>
      </c>
      <c r="AP46" s="2254"/>
      <c r="AQ46" s="2254"/>
      <c r="AR46" s="2254"/>
      <c r="AS46" s="2254"/>
      <c r="AT46" s="2254"/>
      <c r="AU46" s="2255">
        <f t="shared" si="3"/>
        <v>0</v>
      </c>
      <c r="AV46" s="2255"/>
      <c r="AW46" s="2255"/>
      <c r="AX46" s="2255"/>
      <c r="AY46" s="2255"/>
      <c r="AZ46" s="2256"/>
      <c r="BA46" s="1204"/>
      <c r="BB46" s="1204"/>
      <c r="BC46" s="1204"/>
      <c r="BD46" s="1204"/>
      <c r="BE46" s="1210"/>
    </row>
    <row r="47" spans="1:58" ht="15.75" customHeight="1" thickBot="1">
      <c r="A47" s="1204"/>
      <c r="B47" s="2261" t="s">
        <v>302</v>
      </c>
      <c r="C47" s="2262"/>
      <c r="D47" s="2262"/>
      <c r="E47" s="2262"/>
      <c r="F47" s="2262"/>
      <c r="G47" s="2262"/>
      <c r="H47" s="2262"/>
      <c r="I47" s="2262"/>
      <c r="J47" s="2263"/>
      <c r="K47" s="2263"/>
      <c r="L47" s="2263"/>
      <c r="M47" s="2263"/>
      <c r="N47" s="2263"/>
      <c r="O47" s="2263"/>
      <c r="P47" s="2263"/>
      <c r="Q47" s="2263"/>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8">
        <f t="shared" si="2"/>
        <v>0</v>
      </c>
      <c r="AP47" s="2268"/>
      <c r="AQ47" s="2268"/>
      <c r="AR47" s="2268"/>
      <c r="AS47" s="2268"/>
      <c r="AT47" s="2268"/>
      <c r="AU47" s="2259">
        <f t="shared" si="3"/>
        <v>0</v>
      </c>
      <c r="AV47" s="2259"/>
      <c r="AW47" s="2259"/>
      <c r="AX47" s="2259"/>
      <c r="AY47" s="2259"/>
      <c r="AZ47" s="2260"/>
      <c r="BA47" s="1204"/>
      <c r="BB47" s="1204"/>
      <c r="BC47" s="1204"/>
      <c r="BD47" s="1204"/>
      <c r="BE47" s="1210"/>
    </row>
    <row r="48" spans="1:58" ht="15.75" customHeight="1">
      <c r="A48" s="1204"/>
      <c r="B48" s="1212" t="s">
        <v>2577</v>
      </c>
      <c r="C48" s="1204"/>
      <c r="D48" s="1204"/>
      <c r="E48" s="1204"/>
      <c r="F48" s="1204"/>
      <c r="G48" s="1204"/>
      <c r="H48" s="1204"/>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4"/>
      <c r="AH48" s="1204"/>
      <c r="AI48" s="1204"/>
      <c r="AJ48" s="1204"/>
      <c r="AK48" s="1204"/>
      <c r="AL48" s="1204"/>
      <c r="AM48" s="1204"/>
      <c r="AN48" s="1204"/>
      <c r="AO48" s="1204"/>
      <c r="AP48" s="1204"/>
      <c r="AQ48" s="1204"/>
      <c r="AR48" s="1204"/>
      <c r="AS48" s="1204"/>
      <c r="AT48" s="1204"/>
      <c r="AU48" s="1204"/>
      <c r="AV48" s="1204"/>
      <c r="AW48" s="1204"/>
      <c r="AX48" s="1204"/>
      <c r="AY48" s="1204"/>
      <c r="AZ48" s="1204"/>
      <c r="BA48" s="1204"/>
      <c r="BB48" s="1204"/>
      <c r="BC48" s="1204"/>
      <c r="BD48" s="1204"/>
      <c r="BE48" s="1210"/>
      <c r="BF48" s="1202"/>
    </row>
    <row r="49" spans="1:58" ht="15.75" customHeight="1" thickBot="1">
      <c r="A49" s="1204"/>
      <c r="B49" s="1212" t="s">
        <v>2260</v>
      </c>
      <c r="C49" s="1204"/>
      <c r="D49" s="1204"/>
      <c r="E49" s="1204"/>
      <c r="F49" s="1204"/>
      <c r="G49" s="1204"/>
      <c r="H49" s="1204"/>
      <c r="I49" s="1204"/>
      <c r="J49" s="1204"/>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6"/>
      <c r="AQ49" s="1206"/>
      <c r="AR49" s="1206"/>
      <c r="AS49" s="1206"/>
      <c r="AT49" s="1206"/>
      <c r="AU49" s="1206"/>
      <c r="AV49" s="1206"/>
      <c r="AW49" s="1206"/>
      <c r="AX49" s="1204"/>
      <c r="AY49" s="1204"/>
      <c r="AZ49" s="1204"/>
      <c r="BA49" s="1204"/>
      <c r="BB49" s="1204"/>
      <c r="BC49" s="1204"/>
      <c r="BD49" s="1204"/>
      <c r="BE49" s="1210"/>
      <c r="BF49" s="1202"/>
    </row>
    <row r="50" spans="1:58" ht="15.75" customHeight="1">
      <c r="A50" s="1204"/>
      <c r="B50" s="2237" t="s">
        <v>1885</v>
      </c>
      <c r="C50" s="2238"/>
      <c r="D50" s="2238"/>
      <c r="E50" s="2238"/>
      <c r="F50" s="2238"/>
      <c r="G50" s="2238"/>
      <c r="H50" s="2238"/>
      <c r="I50" s="2238"/>
      <c r="J50" s="2238"/>
      <c r="K50" s="2238"/>
      <c r="L50" s="2238"/>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9"/>
      <c r="AP50" s="1206"/>
      <c r="AQ50" s="1206"/>
      <c r="AR50" s="1206"/>
      <c r="AS50" s="1206"/>
      <c r="AT50" s="1206"/>
      <c r="AU50" s="1206"/>
      <c r="AV50" s="1206"/>
      <c r="AW50" s="1206"/>
      <c r="AX50" s="1204"/>
      <c r="AY50" s="1204"/>
      <c r="AZ50" s="1204"/>
      <c r="BA50" s="1204"/>
      <c r="BB50" s="1204"/>
      <c r="BC50" s="1204"/>
      <c r="BD50" s="1204"/>
      <c r="BE50" s="1210"/>
    </row>
    <row r="51" spans="1:58" ht="33.75" customHeight="1">
      <c r="A51" s="1204"/>
      <c r="B51" s="2265" t="s">
        <v>1886</v>
      </c>
      <c r="C51" s="2266"/>
      <c r="D51" s="2266"/>
      <c r="E51" s="2266"/>
      <c r="F51" s="2266"/>
      <c r="G51" s="2266"/>
      <c r="H51" s="2266"/>
      <c r="I51" s="2266"/>
      <c r="J51" s="2266" t="s">
        <v>2578</v>
      </c>
      <c r="K51" s="2266"/>
      <c r="L51" s="2266"/>
      <c r="M51" s="2266"/>
      <c r="N51" s="2266"/>
      <c r="O51" s="2266"/>
      <c r="P51" s="2266"/>
      <c r="Q51" s="2266"/>
      <c r="R51" s="2247" t="s">
        <v>2579</v>
      </c>
      <c r="S51" s="2247"/>
      <c r="T51" s="2247"/>
      <c r="U51" s="2247"/>
      <c r="V51" s="2247"/>
      <c r="W51" s="2247"/>
      <c r="X51" s="2247"/>
      <c r="Y51" s="2247"/>
      <c r="Z51" s="2247" t="s">
        <v>1887</v>
      </c>
      <c r="AA51" s="2247"/>
      <c r="AB51" s="2247"/>
      <c r="AC51" s="2247"/>
      <c r="AD51" s="2247"/>
      <c r="AE51" s="2247"/>
      <c r="AF51" s="2247"/>
      <c r="AG51" s="2247"/>
      <c r="AH51" s="2247" t="s">
        <v>1888</v>
      </c>
      <c r="AI51" s="2247"/>
      <c r="AJ51" s="2247"/>
      <c r="AK51" s="2247"/>
      <c r="AL51" s="2247"/>
      <c r="AM51" s="2247"/>
      <c r="AN51" s="2247"/>
      <c r="AO51" s="2267"/>
      <c r="AP51" s="1206"/>
      <c r="AQ51" s="1206"/>
      <c r="AR51" s="1206"/>
      <c r="AS51" s="1206"/>
      <c r="AT51" s="1206"/>
      <c r="AU51" s="1206"/>
      <c r="AV51" s="1206"/>
      <c r="AW51" s="1206"/>
      <c r="AX51" s="1211"/>
      <c r="AY51" s="1204"/>
      <c r="AZ51" s="1204"/>
      <c r="BA51" s="1204"/>
      <c r="BB51" s="1204"/>
      <c r="BC51" s="1204"/>
      <c r="BD51" s="1204"/>
      <c r="BE51" s="1210"/>
    </row>
    <row r="52" spans="1:58" ht="15.75" customHeight="1">
      <c r="A52" s="1204"/>
      <c r="B52" s="2257" t="s">
        <v>2750</v>
      </c>
      <c r="C52" s="2258"/>
      <c r="D52" s="2258"/>
      <c r="E52" s="2258"/>
      <c r="F52" s="2258"/>
      <c r="G52" s="2258"/>
      <c r="H52" s="2258"/>
      <c r="I52" s="2258"/>
      <c r="J52" s="2269">
        <v>15</v>
      </c>
      <c r="K52" s="2269"/>
      <c r="L52" s="2269"/>
      <c r="M52" s="2269"/>
      <c r="N52" s="2269"/>
      <c r="O52" s="2269"/>
      <c r="P52" s="2269"/>
      <c r="Q52" s="2269"/>
      <c r="R52" s="2270">
        <v>33000</v>
      </c>
      <c r="S52" s="2270"/>
      <c r="T52" s="2270"/>
      <c r="U52" s="2270"/>
      <c r="V52" s="2270"/>
      <c r="W52" s="2270"/>
      <c r="X52" s="2270"/>
      <c r="Y52" s="2270"/>
      <c r="Z52" s="2271">
        <v>0</v>
      </c>
      <c r="AA52" s="2271"/>
      <c r="AB52" s="2271"/>
      <c r="AC52" s="2271"/>
      <c r="AD52" s="2271"/>
      <c r="AE52" s="2271"/>
      <c r="AF52" s="2271"/>
      <c r="AG52" s="2271"/>
      <c r="AH52" s="2272"/>
      <c r="AI52" s="2272"/>
      <c r="AJ52" s="2272"/>
      <c r="AK52" s="2272"/>
      <c r="AL52" s="2272"/>
      <c r="AM52" s="2272"/>
      <c r="AN52" s="2272"/>
      <c r="AO52" s="2273"/>
      <c r="AP52" s="1206"/>
      <c r="AQ52" s="1206"/>
      <c r="AR52" s="1206"/>
      <c r="AS52" s="1206"/>
      <c r="AT52" s="1206"/>
      <c r="AU52" s="1206"/>
      <c r="AV52" s="1206"/>
      <c r="AW52" s="1206"/>
      <c r="AX52" s="1211"/>
      <c r="AY52" s="1204"/>
      <c r="AZ52" s="1204"/>
      <c r="BA52" s="1204"/>
      <c r="BB52" s="1204"/>
      <c r="BC52" s="1204"/>
      <c r="BD52" s="1204"/>
      <c r="BE52" s="1210"/>
    </row>
    <row r="53" spans="1:58" ht="15.75" customHeight="1">
      <c r="A53" s="1204"/>
      <c r="B53" s="2257"/>
      <c r="C53" s="2258"/>
      <c r="D53" s="2258"/>
      <c r="E53" s="2258"/>
      <c r="F53" s="2258"/>
      <c r="G53" s="2258"/>
      <c r="H53" s="2258"/>
      <c r="I53" s="2258"/>
      <c r="J53" s="2269"/>
      <c r="K53" s="2269"/>
      <c r="L53" s="2269"/>
      <c r="M53" s="2269"/>
      <c r="N53" s="2269"/>
      <c r="O53" s="2269"/>
      <c r="P53" s="2269"/>
      <c r="Q53" s="2269"/>
      <c r="R53" s="2270"/>
      <c r="S53" s="2270"/>
      <c r="T53" s="2270"/>
      <c r="U53" s="2270"/>
      <c r="V53" s="2270"/>
      <c r="W53" s="2270"/>
      <c r="X53" s="2270"/>
      <c r="Y53" s="2270"/>
      <c r="Z53" s="2271"/>
      <c r="AA53" s="2271"/>
      <c r="AB53" s="2271"/>
      <c r="AC53" s="2271"/>
      <c r="AD53" s="2271"/>
      <c r="AE53" s="2271"/>
      <c r="AF53" s="2271"/>
      <c r="AG53" s="2271"/>
      <c r="AH53" s="2272"/>
      <c r="AI53" s="2272"/>
      <c r="AJ53" s="2272"/>
      <c r="AK53" s="2272"/>
      <c r="AL53" s="2272"/>
      <c r="AM53" s="2272"/>
      <c r="AN53" s="2272"/>
      <c r="AO53" s="2273"/>
      <c r="AP53" s="1206"/>
      <c r="AQ53" s="1206"/>
      <c r="AR53" s="1206"/>
      <c r="AS53" s="1206"/>
      <c r="AT53" s="1206"/>
      <c r="AU53" s="1206"/>
      <c r="AV53" s="1206"/>
      <c r="AW53" s="1206"/>
      <c r="AX53" s="1204"/>
      <c r="AY53" s="1204"/>
      <c r="AZ53" s="1204"/>
      <c r="BA53" s="1204"/>
      <c r="BB53" s="1204"/>
      <c r="BC53" s="1204"/>
      <c r="BD53" s="1204"/>
      <c r="BE53" s="1210"/>
    </row>
    <row r="54" spans="1:58" ht="15.75" customHeight="1">
      <c r="A54" s="1204"/>
      <c r="B54" s="2257"/>
      <c r="C54" s="2258"/>
      <c r="D54" s="2258"/>
      <c r="E54" s="2258"/>
      <c r="F54" s="2258"/>
      <c r="G54" s="2258"/>
      <c r="H54" s="2258"/>
      <c r="I54" s="2258"/>
      <c r="J54" s="2269"/>
      <c r="K54" s="2269"/>
      <c r="L54" s="2269"/>
      <c r="M54" s="2269"/>
      <c r="N54" s="2269"/>
      <c r="O54" s="2269"/>
      <c r="P54" s="2269"/>
      <c r="Q54" s="2269"/>
      <c r="R54" s="2270"/>
      <c r="S54" s="2270"/>
      <c r="T54" s="2270"/>
      <c r="U54" s="2270"/>
      <c r="V54" s="2270"/>
      <c r="W54" s="2270"/>
      <c r="X54" s="2270"/>
      <c r="Y54" s="2270"/>
      <c r="Z54" s="2271"/>
      <c r="AA54" s="2271"/>
      <c r="AB54" s="2271"/>
      <c r="AC54" s="2271"/>
      <c r="AD54" s="2271"/>
      <c r="AE54" s="2271"/>
      <c r="AF54" s="2271"/>
      <c r="AG54" s="2271"/>
      <c r="AH54" s="2272"/>
      <c r="AI54" s="2272"/>
      <c r="AJ54" s="2272"/>
      <c r="AK54" s="2272"/>
      <c r="AL54" s="2272"/>
      <c r="AM54" s="2272"/>
      <c r="AN54" s="2272"/>
      <c r="AO54" s="2273"/>
      <c r="AP54" s="1206"/>
      <c r="AQ54" s="1206"/>
      <c r="AR54" s="1206"/>
      <c r="AS54" s="1206"/>
      <c r="AT54" s="1206"/>
      <c r="AU54" s="1206"/>
      <c r="AV54" s="1206"/>
      <c r="AW54" s="1206"/>
      <c r="AX54" s="1204"/>
      <c r="AY54" s="1204"/>
      <c r="AZ54" s="1204"/>
      <c r="BA54" s="1204"/>
      <c r="BB54" s="1204"/>
      <c r="BC54" s="1204"/>
      <c r="BD54" s="1204"/>
      <c r="BE54" s="1210"/>
    </row>
    <row r="55" spans="1:58" ht="15.75" customHeight="1">
      <c r="A55" s="1204"/>
      <c r="B55" s="2257"/>
      <c r="C55" s="2258"/>
      <c r="D55" s="2258"/>
      <c r="E55" s="2258"/>
      <c r="F55" s="2258"/>
      <c r="G55" s="2258"/>
      <c r="H55" s="2258"/>
      <c r="I55" s="2258"/>
      <c r="J55" s="2269"/>
      <c r="K55" s="2269"/>
      <c r="L55" s="2269"/>
      <c r="M55" s="2269"/>
      <c r="N55" s="2269"/>
      <c r="O55" s="2269"/>
      <c r="P55" s="2269"/>
      <c r="Q55" s="2269"/>
      <c r="R55" s="2270"/>
      <c r="S55" s="2270"/>
      <c r="T55" s="2270"/>
      <c r="U55" s="2270"/>
      <c r="V55" s="2270"/>
      <c r="W55" s="2270"/>
      <c r="X55" s="2270"/>
      <c r="Y55" s="2270"/>
      <c r="Z55" s="2271"/>
      <c r="AA55" s="2271"/>
      <c r="AB55" s="2271"/>
      <c r="AC55" s="2271"/>
      <c r="AD55" s="2271"/>
      <c r="AE55" s="2271"/>
      <c r="AF55" s="2271"/>
      <c r="AG55" s="2271"/>
      <c r="AH55" s="2272"/>
      <c r="AI55" s="2272"/>
      <c r="AJ55" s="2272"/>
      <c r="AK55" s="2272"/>
      <c r="AL55" s="2272"/>
      <c r="AM55" s="2272"/>
      <c r="AN55" s="2272"/>
      <c r="AO55" s="2273"/>
      <c r="AP55" s="1206"/>
      <c r="AQ55" s="1206"/>
      <c r="AR55" s="1206"/>
      <c r="AS55" s="1206"/>
      <c r="AT55" s="1206" t="s">
        <v>252</v>
      </c>
      <c r="AU55" s="1206"/>
      <c r="AV55" s="1206"/>
      <c r="AW55" s="1206"/>
      <c r="AX55" s="1204"/>
      <c r="AY55" s="1204"/>
      <c r="AZ55" s="1204"/>
      <c r="BA55" s="1204"/>
      <c r="BB55" s="1204"/>
      <c r="BC55" s="1204"/>
      <c r="BD55" s="1204"/>
      <c r="BE55" s="1210"/>
    </row>
    <row r="56" spans="1:58" ht="15.75" customHeight="1">
      <c r="A56" s="1204"/>
      <c r="B56" s="2257"/>
      <c r="C56" s="2258"/>
      <c r="D56" s="2258"/>
      <c r="E56" s="2258"/>
      <c r="F56" s="2258"/>
      <c r="G56" s="2258"/>
      <c r="H56" s="2258"/>
      <c r="I56" s="2258"/>
      <c r="J56" s="2269"/>
      <c r="K56" s="2269"/>
      <c r="L56" s="2269"/>
      <c r="M56" s="2269"/>
      <c r="N56" s="2269"/>
      <c r="O56" s="2269"/>
      <c r="P56" s="2269"/>
      <c r="Q56" s="2269"/>
      <c r="R56" s="2270"/>
      <c r="S56" s="2270"/>
      <c r="T56" s="2270"/>
      <c r="U56" s="2270"/>
      <c r="V56" s="2270"/>
      <c r="W56" s="2270"/>
      <c r="X56" s="2270"/>
      <c r="Y56" s="2270"/>
      <c r="Z56" s="2271"/>
      <c r="AA56" s="2271"/>
      <c r="AB56" s="2271"/>
      <c r="AC56" s="2271"/>
      <c r="AD56" s="2271"/>
      <c r="AE56" s="2271"/>
      <c r="AF56" s="2271"/>
      <c r="AG56" s="2271"/>
      <c r="AH56" s="2272"/>
      <c r="AI56" s="2272"/>
      <c r="AJ56" s="2272"/>
      <c r="AK56" s="2272"/>
      <c r="AL56" s="2272"/>
      <c r="AM56" s="2272"/>
      <c r="AN56" s="2272"/>
      <c r="AO56" s="2273"/>
      <c r="AP56" s="1206"/>
      <c r="AQ56" s="1206"/>
      <c r="AR56" s="1206"/>
      <c r="AS56" s="1206"/>
      <c r="AT56" s="1206"/>
      <c r="AU56" s="1206"/>
      <c r="AV56" s="1206"/>
      <c r="AW56" s="1206"/>
      <c r="AX56" s="1204"/>
      <c r="AY56" s="1204"/>
      <c r="AZ56" s="1204"/>
      <c r="BA56" s="1204"/>
      <c r="BB56" s="1204"/>
      <c r="BC56" s="1204"/>
      <c r="BD56" s="1204"/>
      <c r="BE56" s="1210"/>
    </row>
    <row r="57" spans="1:58" s="1214" customFormat="1" ht="15.75" customHeight="1" thickBot="1">
      <c r="A57" s="1206"/>
      <c r="B57" s="2283" t="s">
        <v>1765</v>
      </c>
      <c r="C57" s="2284"/>
      <c r="D57" s="2284"/>
      <c r="E57" s="2284"/>
      <c r="F57" s="2284"/>
      <c r="G57" s="2284"/>
      <c r="H57" s="2284"/>
      <c r="I57" s="2284"/>
      <c r="J57" s="2284"/>
      <c r="K57" s="2284"/>
      <c r="L57" s="2284"/>
      <c r="M57" s="2284"/>
      <c r="N57" s="2284"/>
      <c r="O57" s="2284"/>
      <c r="P57" s="2284"/>
      <c r="Q57" s="2284"/>
      <c r="R57" s="2285">
        <f>SUM(R52:Y56)</f>
        <v>33000</v>
      </c>
      <c r="S57" s="2285"/>
      <c r="T57" s="2285"/>
      <c r="U57" s="2285"/>
      <c r="V57" s="2285"/>
      <c r="W57" s="2285"/>
      <c r="X57" s="2285"/>
      <c r="Y57" s="2285"/>
      <c r="Z57" s="2286">
        <f>SUM(Z52:AG56)</f>
        <v>0</v>
      </c>
      <c r="AA57" s="2286"/>
      <c r="AB57" s="2286"/>
      <c r="AC57" s="2286"/>
      <c r="AD57" s="2286"/>
      <c r="AE57" s="2286"/>
      <c r="AF57" s="2286"/>
      <c r="AG57" s="2286"/>
      <c r="AH57" s="2287"/>
      <c r="AI57" s="2287"/>
      <c r="AJ57" s="2287"/>
      <c r="AK57" s="2287"/>
      <c r="AL57" s="2287"/>
      <c r="AM57" s="2287"/>
      <c r="AN57" s="2287"/>
      <c r="AO57" s="2288"/>
      <c r="AP57" s="1206"/>
      <c r="AQ57" s="1206"/>
      <c r="AR57" s="1206"/>
      <c r="AS57" s="1206"/>
      <c r="AT57" s="1206"/>
      <c r="AU57" s="1206"/>
      <c r="AV57" s="1206"/>
      <c r="AW57" s="1206"/>
      <c r="AX57" s="1206"/>
      <c r="AY57" s="1206"/>
      <c r="AZ57" s="1206"/>
      <c r="BA57" s="1206"/>
      <c r="BB57" s="1206"/>
      <c r="BC57" s="1206"/>
      <c r="BD57" s="1206"/>
      <c r="BE57" s="1213"/>
    </row>
    <row r="58" spans="1:58" ht="15.75" customHeight="1" thickBot="1">
      <c r="A58" s="1204"/>
      <c r="B58" s="1204"/>
      <c r="C58" s="1204"/>
      <c r="D58" s="1204"/>
      <c r="E58" s="1204"/>
      <c r="F58" s="1204"/>
      <c r="G58" s="1204"/>
      <c r="H58" s="1204"/>
      <c r="I58" s="1204"/>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4"/>
      <c r="AJ58" s="1204"/>
      <c r="AK58" s="1204"/>
      <c r="AL58" s="1204"/>
      <c r="AM58" s="1204"/>
      <c r="AN58" s="1204"/>
      <c r="AO58" s="1204"/>
      <c r="AP58" s="1204"/>
      <c r="AQ58" s="1204"/>
      <c r="AR58" s="1204"/>
      <c r="AS58" s="1204"/>
      <c r="AT58" s="1204"/>
      <c r="AU58" s="1204"/>
      <c r="AV58" s="1204"/>
      <c r="AW58" s="1204"/>
      <c r="AX58" s="1204"/>
      <c r="AY58" s="1204"/>
      <c r="AZ58" s="1204"/>
      <c r="BA58" s="1204"/>
      <c r="BB58" s="1204"/>
      <c r="BC58" s="1204"/>
      <c r="BD58" s="1204"/>
      <c r="BE58" s="1210"/>
    </row>
    <row r="59" spans="1:58" ht="15.75" customHeight="1">
      <c r="A59" s="1204"/>
      <c r="B59" s="2274" t="s">
        <v>1886</v>
      </c>
      <c r="C59" s="2275"/>
      <c r="D59" s="2275"/>
      <c r="E59" s="2275"/>
      <c r="F59" s="2275"/>
      <c r="G59" s="2275"/>
      <c r="H59" s="2275"/>
      <c r="I59" s="2276"/>
      <c r="J59" s="2200" t="s">
        <v>2580</v>
      </c>
      <c r="K59" s="2200"/>
      <c r="L59" s="2200"/>
      <c r="M59" s="2200"/>
      <c r="N59" s="2200"/>
      <c r="O59" s="2200"/>
      <c r="P59" s="2200"/>
      <c r="Q59" s="2200"/>
      <c r="R59" s="2200"/>
      <c r="S59" s="2200"/>
      <c r="T59" s="2200"/>
      <c r="U59" s="2200"/>
      <c r="V59" s="2200"/>
      <c r="W59" s="2200"/>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0"/>
      <c r="AS59" s="2200"/>
      <c r="AT59" s="2200"/>
      <c r="AU59" s="2200"/>
      <c r="AV59" s="2200"/>
      <c r="AW59" s="2201"/>
      <c r="AX59" s="1204"/>
      <c r="AY59" s="1204"/>
      <c r="AZ59" s="1204"/>
      <c r="BA59" s="1204"/>
      <c r="BB59" s="1204"/>
      <c r="BC59" s="1204"/>
      <c r="BD59" s="1204"/>
      <c r="BE59" s="1210"/>
    </row>
    <row r="60" spans="1:58" ht="15.75" customHeight="1">
      <c r="A60" s="1204"/>
      <c r="B60" s="2277" t="str">
        <f>IF(B52="", "", B52)</f>
        <v>LifeSTEPS</v>
      </c>
      <c r="C60" s="2278"/>
      <c r="D60" s="2278"/>
      <c r="E60" s="2278"/>
      <c r="F60" s="2278"/>
      <c r="G60" s="2278"/>
      <c r="H60" s="2278"/>
      <c r="I60" s="2279"/>
      <c r="J60" s="2280" t="s">
        <v>2751</v>
      </c>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c r="AO60" s="2281"/>
      <c r="AP60" s="2281"/>
      <c r="AQ60" s="2281"/>
      <c r="AR60" s="2281"/>
      <c r="AS60" s="2281"/>
      <c r="AT60" s="2281"/>
      <c r="AU60" s="2281"/>
      <c r="AV60" s="2281"/>
      <c r="AW60" s="2282"/>
      <c r="AX60" s="1204"/>
      <c r="AY60" s="1204"/>
      <c r="AZ60" s="1204"/>
      <c r="BA60" s="1204"/>
      <c r="BB60" s="1204"/>
      <c r="BC60" s="1204"/>
      <c r="BD60" s="1204"/>
      <c r="BE60" s="1210"/>
    </row>
    <row r="61" spans="1:58" ht="15.75" customHeight="1">
      <c r="A61" s="1204"/>
      <c r="B61" s="2277" t="str">
        <f>IF(B53="", "", B53)</f>
        <v/>
      </c>
      <c r="C61" s="2278"/>
      <c r="D61" s="2278"/>
      <c r="E61" s="2278"/>
      <c r="F61" s="2278"/>
      <c r="G61" s="2278"/>
      <c r="H61" s="2278"/>
      <c r="I61" s="2279"/>
      <c r="J61" s="2280" t="s">
        <v>2752</v>
      </c>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2"/>
      <c r="AX61" s="1204"/>
      <c r="AY61" s="1204"/>
      <c r="AZ61" s="1204"/>
      <c r="BA61" s="1204"/>
      <c r="BB61" s="1204"/>
      <c r="BC61" s="1204"/>
      <c r="BD61" s="1204"/>
      <c r="BE61" s="1210"/>
    </row>
    <row r="62" spans="1:58" ht="15.75" customHeight="1">
      <c r="A62" s="1204"/>
      <c r="B62" s="2277" t="str">
        <f>IF(B54="", "", B54)</f>
        <v/>
      </c>
      <c r="C62" s="2278"/>
      <c r="D62" s="2278"/>
      <c r="E62" s="2278"/>
      <c r="F62" s="2278"/>
      <c r="G62" s="2278"/>
      <c r="H62" s="2278"/>
      <c r="I62" s="2279"/>
      <c r="J62" s="2280"/>
      <c r="K62" s="2281"/>
      <c r="L62" s="2281"/>
      <c r="M62" s="2281"/>
      <c r="N62" s="2281"/>
      <c r="O62" s="2281"/>
      <c r="P62" s="2281"/>
      <c r="Q62" s="2281"/>
      <c r="R62" s="2281"/>
      <c r="S62" s="2281"/>
      <c r="T62" s="2281"/>
      <c r="U62" s="2281"/>
      <c r="V62" s="2281"/>
      <c r="W62" s="2281"/>
      <c r="X62" s="2281"/>
      <c r="Y62" s="2281"/>
      <c r="Z62" s="2281"/>
      <c r="AA62" s="2281"/>
      <c r="AB62" s="2281"/>
      <c r="AC62" s="2281"/>
      <c r="AD62" s="2281"/>
      <c r="AE62" s="2281"/>
      <c r="AF62" s="2281"/>
      <c r="AG62" s="2281"/>
      <c r="AH62" s="2281"/>
      <c r="AI62" s="2281"/>
      <c r="AJ62" s="2281"/>
      <c r="AK62" s="2281"/>
      <c r="AL62" s="2281"/>
      <c r="AM62" s="2281"/>
      <c r="AN62" s="2281"/>
      <c r="AO62" s="2281"/>
      <c r="AP62" s="2281"/>
      <c r="AQ62" s="2281"/>
      <c r="AR62" s="2281"/>
      <c r="AS62" s="2281"/>
      <c r="AT62" s="2281"/>
      <c r="AU62" s="2281"/>
      <c r="AV62" s="2281"/>
      <c r="AW62" s="2282"/>
      <c r="AX62" s="1204"/>
      <c r="AY62" s="1204"/>
      <c r="AZ62" s="1204"/>
      <c r="BA62" s="1204"/>
      <c r="BB62" s="1204"/>
      <c r="BC62" s="1204"/>
      <c r="BD62" s="1204"/>
      <c r="BE62" s="1210"/>
    </row>
    <row r="63" spans="1:58" ht="15.75" customHeight="1">
      <c r="A63" s="1204"/>
      <c r="B63" s="2277" t="str">
        <f>IF(B55="", "", B55)</f>
        <v/>
      </c>
      <c r="C63" s="2278"/>
      <c r="D63" s="2278"/>
      <c r="E63" s="2278"/>
      <c r="F63" s="2278"/>
      <c r="G63" s="2278"/>
      <c r="H63" s="2278"/>
      <c r="I63" s="2279"/>
      <c r="J63" s="2280"/>
      <c r="K63" s="2281"/>
      <c r="L63" s="2281"/>
      <c r="M63" s="2281"/>
      <c r="N63" s="2281"/>
      <c r="O63" s="2281"/>
      <c r="P63" s="2281"/>
      <c r="Q63" s="2281"/>
      <c r="R63" s="2281"/>
      <c r="S63" s="2281"/>
      <c r="T63" s="2281"/>
      <c r="U63" s="2281"/>
      <c r="V63" s="2281"/>
      <c r="W63" s="2281"/>
      <c r="X63" s="2281"/>
      <c r="Y63" s="2281"/>
      <c r="Z63" s="2281"/>
      <c r="AA63" s="2281"/>
      <c r="AB63" s="2281"/>
      <c r="AC63" s="2281"/>
      <c r="AD63" s="2281"/>
      <c r="AE63" s="2281"/>
      <c r="AF63" s="2281"/>
      <c r="AG63" s="2281"/>
      <c r="AH63" s="2281"/>
      <c r="AI63" s="2281"/>
      <c r="AJ63" s="2281"/>
      <c r="AK63" s="2281"/>
      <c r="AL63" s="2281"/>
      <c r="AM63" s="2281"/>
      <c r="AN63" s="2281"/>
      <c r="AO63" s="2281"/>
      <c r="AP63" s="2281"/>
      <c r="AQ63" s="2281"/>
      <c r="AR63" s="2281"/>
      <c r="AS63" s="2281"/>
      <c r="AT63" s="2281"/>
      <c r="AU63" s="2281"/>
      <c r="AV63" s="2281"/>
      <c r="AW63" s="2282"/>
      <c r="AX63" s="1204"/>
      <c r="AY63" s="1204"/>
      <c r="AZ63" s="1204"/>
      <c r="BA63" s="1204"/>
      <c r="BB63" s="1204"/>
      <c r="BC63" s="1204"/>
      <c r="BD63" s="1204"/>
      <c r="BE63" s="1210"/>
    </row>
    <row r="64" spans="1:58" ht="15.75" customHeight="1" thickBot="1">
      <c r="A64" s="1204"/>
      <c r="B64" s="2302" t="str">
        <f>IF(B56="", "", B56)</f>
        <v/>
      </c>
      <c r="C64" s="2303"/>
      <c r="D64" s="2303"/>
      <c r="E64" s="2303"/>
      <c r="F64" s="2303"/>
      <c r="G64" s="2303"/>
      <c r="H64" s="2303"/>
      <c r="I64" s="2304"/>
      <c r="J64" s="2305"/>
      <c r="K64" s="2306"/>
      <c r="L64" s="2306"/>
      <c r="M64" s="2306"/>
      <c r="N64" s="2306"/>
      <c r="O64" s="2306"/>
      <c r="P64" s="2306"/>
      <c r="Q64" s="2306"/>
      <c r="R64" s="2306"/>
      <c r="S64" s="2306"/>
      <c r="T64" s="2306"/>
      <c r="U64" s="2306"/>
      <c r="V64" s="2306"/>
      <c r="W64" s="2306"/>
      <c r="X64" s="2306"/>
      <c r="Y64" s="2306"/>
      <c r="Z64" s="2306"/>
      <c r="AA64" s="2306"/>
      <c r="AB64" s="2306"/>
      <c r="AC64" s="2306"/>
      <c r="AD64" s="2306"/>
      <c r="AE64" s="2306"/>
      <c r="AF64" s="2306"/>
      <c r="AG64" s="2306"/>
      <c r="AH64" s="2306"/>
      <c r="AI64" s="2306"/>
      <c r="AJ64" s="2306"/>
      <c r="AK64" s="2306"/>
      <c r="AL64" s="2306"/>
      <c r="AM64" s="2306"/>
      <c r="AN64" s="2306"/>
      <c r="AO64" s="2306"/>
      <c r="AP64" s="2306"/>
      <c r="AQ64" s="2306"/>
      <c r="AR64" s="2306"/>
      <c r="AS64" s="2306"/>
      <c r="AT64" s="2306"/>
      <c r="AU64" s="2306"/>
      <c r="AV64" s="2306"/>
      <c r="AW64" s="2307"/>
      <c r="AX64" s="1204"/>
      <c r="AY64" s="1204"/>
      <c r="AZ64" s="1204"/>
      <c r="BA64" s="1204"/>
      <c r="BB64" s="1204"/>
      <c r="BC64" s="1204"/>
      <c r="BD64" s="1204"/>
      <c r="BE64" s="1210"/>
    </row>
    <row r="65" spans="1:65" ht="15.75" customHeight="1">
      <c r="A65" s="1204"/>
      <c r="B65" s="1204"/>
      <c r="C65" s="1204"/>
      <c r="D65" s="1204"/>
      <c r="E65" s="1204"/>
      <c r="F65" s="1204"/>
      <c r="G65" s="1204"/>
      <c r="H65" s="1204"/>
      <c r="I65" s="1204"/>
      <c r="J65" s="1204"/>
      <c r="K65" s="1204"/>
      <c r="L65" s="1204"/>
      <c r="M65" s="1204"/>
      <c r="N65" s="1204"/>
      <c r="O65" s="1204"/>
      <c r="P65" s="1204"/>
      <c r="Q65" s="1204"/>
      <c r="R65" s="1204"/>
      <c r="S65" s="1204"/>
      <c r="T65" s="1204"/>
      <c r="U65" s="1204"/>
      <c r="V65" s="1204"/>
      <c r="W65" s="1204"/>
      <c r="X65" s="1204"/>
      <c r="Y65" s="1204"/>
      <c r="Z65" s="1204"/>
      <c r="AA65" s="1204"/>
      <c r="AB65" s="1204"/>
      <c r="AC65" s="1204"/>
      <c r="AD65" s="1204"/>
      <c r="AE65" s="1204"/>
      <c r="AF65" s="1204"/>
      <c r="AG65" s="1204"/>
      <c r="AH65" s="1204"/>
      <c r="AI65" s="1204"/>
      <c r="AJ65" s="1204"/>
      <c r="AK65" s="1204"/>
      <c r="AL65" s="1204"/>
      <c r="AM65" s="1204"/>
      <c r="AN65" s="1204"/>
      <c r="AO65" s="1204"/>
      <c r="AP65" s="1204"/>
      <c r="AQ65" s="1204"/>
      <c r="AR65" s="1204"/>
      <c r="AS65" s="1204"/>
      <c r="AT65" s="1204"/>
      <c r="AU65" s="1204"/>
      <c r="AV65" s="1204"/>
      <c r="AW65" s="1204"/>
      <c r="AX65" s="1204"/>
      <c r="AY65" s="1204"/>
      <c r="AZ65" s="1204"/>
      <c r="BA65" s="1204"/>
      <c r="BB65" s="1204"/>
      <c r="BC65" s="1204"/>
      <c r="BD65" s="1204"/>
      <c r="BE65" s="1210"/>
    </row>
    <row r="66" spans="1:65" ht="15.75" customHeight="1">
      <c r="A66" s="1204"/>
      <c r="B66" s="1214" t="s">
        <v>1889</v>
      </c>
      <c r="C66" s="1214"/>
      <c r="D66" s="1214"/>
      <c r="E66" s="1214"/>
      <c r="F66" s="1214"/>
      <c r="G66" s="1214"/>
      <c r="H66" s="1214"/>
      <c r="I66" s="1214"/>
      <c r="J66" s="1214"/>
      <c r="K66" s="1214"/>
      <c r="L66" s="1204"/>
      <c r="M66" s="1204"/>
      <c r="N66" s="1204"/>
      <c r="O66" s="1204"/>
      <c r="P66" s="1204"/>
      <c r="Q66" s="1204"/>
      <c r="R66" s="1204"/>
      <c r="S66" s="1204"/>
      <c r="T66" s="1204"/>
      <c r="U66" s="1204"/>
      <c r="V66" s="1204"/>
      <c r="W66" s="1204"/>
      <c r="X66" s="1204"/>
      <c r="Y66" s="1204"/>
      <c r="Z66" s="1204"/>
      <c r="AA66" s="1204"/>
      <c r="AB66" s="1204"/>
      <c r="AC66" s="1204"/>
      <c r="AD66" s="1204"/>
      <c r="AE66" s="1204"/>
      <c r="AF66" s="1204"/>
      <c r="AG66" s="1204"/>
      <c r="AH66" s="1204"/>
      <c r="AI66" s="1204"/>
      <c r="AJ66" s="1204"/>
      <c r="AK66" s="1204"/>
      <c r="AL66" s="1204"/>
      <c r="AM66" s="1204"/>
      <c r="AN66" s="1204"/>
      <c r="AO66" s="1204"/>
      <c r="AP66" s="1204"/>
      <c r="AQ66" s="1204"/>
      <c r="AR66" s="1204"/>
      <c r="AS66" s="1204"/>
      <c r="AT66" s="1204"/>
      <c r="AU66" s="1204"/>
      <c r="AV66" s="1204"/>
      <c r="AW66" s="1204"/>
      <c r="AX66" s="1204"/>
      <c r="AY66" s="1204"/>
      <c r="AZ66" s="1204"/>
      <c r="BA66" s="1204"/>
      <c r="BB66" s="1204"/>
      <c r="BC66" s="1204"/>
      <c r="BD66" s="1204"/>
      <c r="BE66" s="1210"/>
    </row>
    <row r="67" spans="1:65" ht="15.75" customHeight="1" thickBot="1">
      <c r="A67" s="1204"/>
      <c r="B67" s="1204"/>
      <c r="C67" s="1204"/>
      <c r="D67" s="1204"/>
      <c r="E67" s="1204"/>
      <c r="F67" s="1204"/>
      <c r="G67" s="1204"/>
      <c r="H67" s="1204"/>
      <c r="I67" s="1204"/>
      <c r="J67" s="1204"/>
      <c r="K67" s="1204"/>
      <c r="L67" s="1204"/>
      <c r="M67" s="1204"/>
      <c r="N67" s="1204"/>
      <c r="O67" s="1204"/>
      <c r="P67" s="1204"/>
      <c r="Q67" s="1204"/>
      <c r="R67" s="1204"/>
      <c r="S67" s="1204"/>
      <c r="T67" s="1204"/>
      <c r="U67" s="1204"/>
      <c r="V67" s="1204"/>
      <c r="W67" s="1204"/>
      <c r="X67" s="1204"/>
      <c r="Y67" s="1204"/>
      <c r="Z67" s="1204"/>
      <c r="AA67" s="1204"/>
      <c r="AB67" s="1204"/>
      <c r="AC67" s="1204"/>
      <c r="AD67" s="1204"/>
      <c r="AE67" s="1204"/>
      <c r="AF67" s="1204"/>
      <c r="AG67" s="1204"/>
      <c r="AH67" s="1204"/>
      <c r="AI67" s="1204"/>
      <c r="AJ67" s="1204"/>
      <c r="AK67" s="1204"/>
      <c r="AL67" s="1204"/>
      <c r="AM67" s="1204"/>
      <c r="AN67" s="1204"/>
      <c r="AO67" s="1204"/>
      <c r="AP67" s="1204"/>
      <c r="AQ67" s="1204"/>
      <c r="AR67" s="1204"/>
      <c r="AS67" s="1204"/>
      <c r="AT67" s="1204"/>
      <c r="AU67" s="1204"/>
      <c r="AV67" s="1204"/>
      <c r="AW67" s="1204"/>
      <c r="AX67" s="1204"/>
      <c r="AY67" s="1204"/>
      <c r="AZ67" s="1204"/>
      <c r="BA67" s="1204"/>
      <c r="BB67" s="1204"/>
      <c r="BC67" s="1204"/>
      <c r="BD67" s="1204"/>
      <c r="BE67" s="1210"/>
    </row>
    <row r="68" spans="1:65" ht="15.75" customHeight="1" thickBot="1">
      <c r="A68" s="1204"/>
      <c r="B68" s="2199" t="s">
        <v>1890</v>
      </c>
      <c r="C68" s="2200"/>
      <c r="D68" s="2200"/>
      <c r="E68" s="2200"/>
      <c r="F68" s="2200"/>
      <c r="G68" s="2200"/>
      <c r="H68" s="2200"/>
      <c r="I68" s="2200"/>
      <c r="J68" s="2200"/>
      <c r="K68" s="2200"/>
      <c r="L68" s="2200"/>
      <c r="M68" s="2200"/>
      <c r="N68" s="2200"/>
      <c r="O68" s="2200"/>
      <c r="P68" s="2200"/>
      <c r="Q68" s="2200"/>
      <c r="R68" s="2200"/>
      <c r="S68" s="2200"/>
      <c r="T68" s="2200"/>
      <c r="U68" s="2200"/>
      <c r="V68" s="2200"/>
      <c r="W68" s="2200"/>
      <c r="X68" s="2200"/>
      <c r="Y68" s="2200"/>
      <c r="Z68" s="2200"/>
      <c r="AA68" s="2201"/>
      <c r="AB68" s="1204"/>
      <c r="AC68" s="2314" t="s">
        <v>1891</v>
      </c>
      <c r="AD68" s="2315"/>
      <c r="AE68" s="2315"/>
      <c r="AF68" s="2315"/>
      <c r="AG68" s="2315"/>
      <c r="AH68" s="2315"/>
      <c r="AI68" s="2315"/>
      <c r="AJ68" s="2315"/>
      <c r="AK68" s="2315"/>
      <c r="AL68" s="2315"/>
      <c r="AM68" s="2315"/>
      <c r="AN68" s="2315"/>
      <c r="AO68" s="2315"/>
      <c r="AP68" s="2315"/>
      <c r="AQ68" s="2315"/>
      <c r="AR68" s="2315"/>
      <c r="AS68" s="2315"/>
      <c r="AT68" s="2315"/>
      <c r="AU68" s="2315"/>
      <c r="AV68" s="2289" t="s">
        <v>679</v>
      </c>
      <c r="AW68" s="2290"/>
      <c r="AX68" s="2290"/>
      <c r="AY68" s="2290"/>
      <c r="AZ68" s="2290"/>
      <c r="BA68" s="2290"/>
      <c r="BB68" s="2290"/>
      <c r="BC68" s="2291"/>
      <c r="BD68" s="1204"/>
      <c r="BE68" s="1210"/>
      <c r="BM68" s="1215" t="s">
        <v>2581</v>
      </c>
    </row>
    <row r="69" spans="1:65" ht="15.75" customHeight="1" thickTop="1" thickBot="1">
      <c r="A69" s="1204"/>
      <c r="B69" s="2292" t="s">
        <v>1892</v>
      </c>
      <c r="C69" s="2293"/>
      <c r="D69" s="2293"/>
      <c r="E69" s="2293"/>
      <c r="F69" s="2293"/>
      <c r="G69" s="2293"/>
      <c r="H69" s="2293"/>
      <c r="I69" s="2293"/>
      <c r="J69" s="2293"/>
      <c r="K69" s="2293"/>
      <c r="L69" s="2293"/>
      <c r="M69" s="2293"/>
      <c r="N69" s="2293"/>
      <c r="O69" s="2294" t="s">
        <v>1893</v>
      </c>
      <c r="P69" s="2295"/>
      <c r="Q69" s="2295"/>
      <c r="R69" s="2295"/>
      <c r="S69" s="2295"/>
      <c r="T69" s="2295"/>
      <c r="U69" s="2295"/>
      <c r="V69" s="2295"/>
      <c r="W69" s="2295"/>
      <c r="X69" s="2295"/>
      <c r="Y69" s="2295"/>
      <c r="Z69" s="2295"/>
      <c r="AA69" s="2296"/>
      <c r="AB69" s="1204"/>
      <c r="AC69" s="2297" t="s">
        <v>1894</v>
      </c>
      <c r="AD69" s="2298"/>
      <c r="AE69" s="2298"/>
      <c r="AF69" s="2298"/>
      <c r="AG69" s="2298"/>
      <c r="AH69" s="2298"/>
      <c r="AI69" s="2298"/>
      <c r="AJ69" s="2298"/>
      <c r="AK69" s="2298"/>
      <c r="AL69" s="2298"/>
      <c r="AM69" s="2298"/>
      <c r="AN69" s="2298"/>
      <c r="AO69" s="2298"/>
      <c r="AP69" s="2298"/>
      <c r="AQ69" s="2298"/>
      <c r="AR69" s="2298"/>
      <c r="AS69" s="2298"/>
      <c r="AT69" s="2298"/>
      <c r="AU69" s="2298"/>
      <c r="AV69" s="2299"/>
      <c r="AW69" s="2300"/>
      <c r="AX69" s="2300"/>
      <c r="AY69" s="2300"/>
      <c r="AZ69" s="2300"/>
      <c r="BA69" s="2300"/>
      <c r="BB69" s="2300"/>
      <c r="BC69" s="2301"/>
      <c r="BD69" s="1204"/>
      <c r="BE69" s="1210"/>
      <c r="BM69" s="1216" t="s">
        <v>555</v>
      </c>
    </row>
    <row r="70" spans="1:65" ht="15.75" customHeight="1">
      <c r="A70" s="1204"/>
      <c r="B70" s="2250" t="s">
        <v>2582</v>
      </c>
      <c r="C70" s="2251"/>
      <c r="D70" s="2251"/>
      <c r="E70" s="2251"/>
      <c r="F70" s="2251"/>
      <c r="G70" s="2251"/>
      <c r="H70" s="2251"/>
      <c r="I70" s="2251"/>
      <c r="J70" s="2251"/>
      <c r="K70" s="2251"/>
      <c r="L70" s="2251"/>
      <c r="M70" s="2251"/>
      <c r="N70" s="2251"/>
      <c r="O70" s="2308">
        <v>0</v>
      </c>
      <c r="P70" s="2308"/>
      <c r="Q70" s="2308"/>
      <c r="R70" s="2308"/>
      <c r="S70" s="2308"/>
      <c r="T70" s="2308"/>
      <c r="U70" s="2308"/>
      <c r="V70" s="2308"/>
      <c r="W70" s="2308"/>
      <c r="X70" s="2308"/>
      <c r="Y70" s="2308"/>
      <c r="Z70" s="2308"/>
      <c r="AA70" s="2309"/>
      <c r="AB70" s="1204"/>
      <c r="AC70" s="2237" t="s">
        <v>1895</v>
      </c>
      <c r="AD70" s="2238"/>
      <c r="AE70" s="2238"/>
      <c r="AF70" s="2310" t="s">
        <v>2709</v>
      </c>
      <c r="AG70" s="2310"/>
      <c r="AH70" s="2310"/>
      <c r="AI70" s="2310"/>
      <c r="AJ70" s="2310"/>
      <c r="AK70" s="2310"/>
      <c r="AL70" s="2310"/>
      <c r="AM70" s="2310"/>
      <c r="AN70" s="2310"/>
      <c r="AO70" s="2310"/>
      <c r="AP70" s="2310"/>
      <c r="AQ70" s="2310"/>
      <c r="AR70" s="2310"/>
      <c r="AS70" s="2310"/>
      <c r="AT70" s="2310"/>
      <c r="AU70" s="2311"/>
      <c r="AV70" s="1204"/>
      <c r="AW70" s="1204"/>
      <c r="AX70" s="1204"/>
      <c r="AY70" s="1204"/>
      <c r="AZ70" s="1204"/>
      <c r="BA70" s="1204"/>
      <c r="BB70" s="1204"/>
      <c r="BC70" s="1204"/>
      <c r="BD70" s="1204"/>
      <c r="BE70" s="1210"/>
      <c r="BM70" s="1217" t="s">
        <v>679</v>
      </c>
    </row>
    <row r="71" spans="1:65" ht="15.75" customHeight="1" thickBot="1">
      <c r="A71" s="1204"/>
      <c r="B71" s="2250" t="s">
        <v>2583</v>
      </c>
      <c r="C71" s="2251"/>
      <c r="D71" s="2251"/>
      <c r="E71" s="2251"/>
      <c r="F71" s="2251"/>
      <c r="G71" s="2251"/>
      <c r="H71" s="2251"/>
      <c r="I71" s="2251"/>
      <c r="J71" s="2251"/>
      <c r="K71" s="2251"/>
      <c r="L71" s="2251"/>
      <c r="M71" s="2251"/>
      <c r="N71" s="2251"/>
      <c r="O71" s="2308">
        <v>0</v>
      </c>
      <c r="P71" s="2308"/>
      <c r="Q71" s="2308"/>
      <c r="R71" s="2308"/>
      <c r="S71" s="2308"/>
      <c r="T71" s="2308"/>
      <c r="U71" s="2308"/>
      <c r="V71" s="2308"/>
      <c r="W71" s="2308"/>
      <c r="X71" s="2308"/>
      <c r="Y71" s="2308"/>
      <c r="Z71" s="2308"/>
      <c r="AA71" s="2309"/>
      <c r="AB71" s="1204"/>
      <c r="AC71" s="2312" t="s">
        <v>1896</v>
      </c>
      <c r="AD71" s="2313"/>
      <c r="AE71" s="2313"/>
      <c r="AF71" s="2306" t="s">
        <v>2641</v>
      </c>
      <c r="AG71" s="2306"/>
      <c r="AH71" s="2306"/>
      <c r="AI71" s="2306"/>
      <c r="AJ71" s="2306"/>
      <c r="AK71" s="2306"/>
      <c r="AL71" s="2306"/>
      <c r="AM71" s="2306"/>
      <c r="AN71" s="2306"/>
      <c r="AO71" s="2306"/>
      <c r="AP71" s="2306"/>
      <c r="AQ71" s="2306"/>
      <c r="AR71" s="2306"/>
      <c r="AS71" s="2306"/>
      <c r="AT71" s="2306"/>
      <c r="AU71" s="2307"/>
      <c r="AV71" s="1204"/>
      <c r="AW71" s="1204"/>
      <c r="AX71" s="1204"/>
      <c r="AY71" s="1204"/>
      <c r="AZ71" s="1204"/>
      <c r="BA71" s="1204"/>
      <c r="BB71" s="1204"/>
      <c r="BC71" s="1204"/>
      <c r="BD71" s="1204"/>
      <c r="BE71" s="1210"/>
      <c r="BM71" s="1201" t="s">
        <v>2584</v>
      </c>
    </row>
    <row r="72" spans="1:65" ht="15.75" customHeight="1">
      <c r="A72" s="1204"/>
      <c r="B72" s="2250" t="s">
        <v>2585</v>
      </c>
      <c r="C72" s="2251"/>
      <c r="D72" s="2251"/>
      <c r="E72" s="2251"/>
      <c r="F72" s="2251"/>
      <c r="G72" s="2251"/>
      <c r="H72" s="2251"/>
      <c r="I72" s="2251"/>
      <c r="J72" s="2251"/>
      <c r="K72" s="2251"/>
      <c r="L72" s="2251"/>
      <c r="M72" s="2251"/>
      <c r="N72" s="2251"/>
      <c r="O72" s="2308">
        <v>0</v>
      </c>
      <c r="P72" s="2308"/>
      <c r="Q72" s="2308"/>
      <c r="R72" s="2308"/>
      <c r="S72" s="2308"/>
      <c r="T72" s="2308"/>
      <c r="U72" s="2308"/>
      <c r="V72" s="2308"/>
      <c r="W72" s="2308"/>
      <c r="X72" s="2308"/>
      <c r="Y72" s="2308"/>
      <c r="Z72" s="2308"/>
      <c r="AA72" s="2309"/>
      <c r="AB72" s="1204"/>
      <c r="AC72" s="2316" t="s">
        <v>2586</v>
      </c>
      <c r="AD72" s="2317"/>
      <c r="AE72" s="2317"/>
      <c r="AF72" s="2317"/>
      <c r="AG72" s="2317"/>
      <c r="AH72" s="2317"/>
      <c r="AI72" s="2317"/>
      <c r="AJ72" s="2317"/>
      <c r="AK72" s="2317"/>
      <c r="AL72" s="2317"/>
      <c r="AM72" s="2317"/>
      <c r="AN72" s="2317"/>
      <c r="AO72" s="2317"/>
      <c r="AP72" s="2317"/>
      <c r="AQ72" s="2317"/>
      <c r="AR72" s="2317"/>
      <c r="AS72" s="2317"/>
      <c r="AT72" s="2317"/>
      <c r="AU72" s="2317"/>
      <c r="AV72" s="2238"/>
      <c r="AW72" s="2238"/>
      <c r="AX72" s="2238"/>
      <c r="AY72" s="2238"/>
      <c r="AZ72" s="2238"/>
      <c r="BA72" s="2238"/>
      <c r="BB72" s="2238"/>
      <c r="BC72" s="2239"/>
      <c r="BD72" s="1204"/>
      <c r="BE72" s="1210"/>
    </row>
    <row r="73" spans="1:65" ht="15.75" customHeight="1">
      <c r="A73" s="1204"/>
      <c r="B73" s="2257" t="s">
        <v>2587</v>
      </c>
      <c r="C73" s="2258"/>
      <c r="D73" s="2258"/>
      <c r="E73" s="2258"/>
      <c r="F73" s="2258"/>
      <c r="G73" s="2258"/>
      <c r="H73" s="2258"/>
      <c r="I73" s="2258"/>
      <c r="J73" s="2258"/>
      <c r="K73" s="2258"/>
      <c r="L73" s="2258"/>
      <c r="M73" s="2258"/>
      <c r="N73" s="2258"/>
      <c r="O73" s="2308">
        <v>0</v>
      </c>
      <c r="P73" s="2308"/>
      <c r="Q73" s="2308"/>
      <c r="R73" s="2308"/>
      <c r="S73" s="2308"/>
      <c r="T73" s="2308"/>
      <c r="U73" s="2308"/>
      <c r="V73" s="2308"/>
      <c r="W73" s="2308"/>
      <c r="X73" s="2308"/>
      <c r="Y73" s="2308"/>
      <c r="Z73" s="2308"/>
      <c r="AA73" s="2309"/>
      <c r="AB73" s="1204"/>
      <c r="AC73" s="2318" t="s">
        <v>2753</v>
      </c>
      <c r="AD73" s="2319"/>
      <c r="AE73" s="2319"/>
      <c r="AF73" s="2319"/>
      <c r="AG73" s="2319"/>
      <c r="AH73" s="2319"/>
      <c r="AI73" s="2319"/>
      <c r="AJ73" s="2319"/>
      <c r="AK73" s="2319"/>
      <c r="AL73" s="2319"/>
      <c r="AM73" s="2319"/>
      <c r="AN73" s="2319"/>
      <c r="AO73" s="2319"/>
      <c r="AP73" s="2319"/>
      <c r="AQ73" s="2319"/>
      <c r="AR73" s="2319"/>
      <c r="AS73" s="2319"/>
      <c r="AT73" s="2319"/>
      <c r="AU73" s="2319"/>
      <c r="AV73" s="2319"/>
      <c r="AW73" s="2319"/>
      <c r="AX73" s="2319"/>
      <c r="AY73" s="2319"/>
      <c r="AZ73" s="2319"/>
      <c r="BA73" s="2319"/>
      <c r="BB73" s="2319"/>
      <c r="BC73" s="2320"/>
      <c r="BD73" s="1204"/>
      <c r="BE73" s="1210"/>
    </row>
    <row r="74" spans="1:65" ht="15.75" customHeight="1">
      <c r="A74" s="1204"/>
      <c r="B74" s="2324"/>
      <c r="C74" s="2269"/>
      <c r="D74" s="2269"/>
      <c r="E74" s="2269"/>
      <c r="F74" s="2269"/>
      <c r="G74" s="2269"/>
      <c r="H74" s="2269"/>
      <c r="I74" s="2269"/>
      <c r="J74" s="2269"/>
      <c r="K74" s="2269"/>
      <c r="L74" s="2269"/>
      <c r="M74" s="2269"/>
      <c r="N74" s="2269"/>
      <c r="O74" s="2308"/>
      <c r="P74" s="2308"/>
      <c r="Q74" s="2308"/>
      <c r="R74" s="2308"/>
      <c r="S74" s="2308"/>
      <c r="T74" s="2308"/>
      <c r="U74" s="2308"/>
      <c r="V74" s="2308"/>
      <c r="W74" s="2308"/>
      <c r="X74" s="2308"/>
      <c r="Y74" s="2308"/>
      <c r="Z74" s="2308"/>
      <c r="AA74" s="2309"/>
      <c r="AB74" s="1204"/>
      <c r="AC74" s="2318"/>
      <c r="AD74" s="2319"/>
      <c r="AE74" s="2319"/>
      <c r="AF74" s="2319"/>
      <c r="AG74" s="2319"/>
      <c r="AH74" s="2319"/>
      <c r="AI74" s="2319"/>
      <c r="AJ74" s="2319"/>
      <c r="AK74" s="2319"/>
      <c r="AL74" s="2319"/>
      <c r="AM74" s="2319"/>
      <c r="AN74" s="2319"/>
      <c r="AO74" s="2319"/>
      <c r="AP74" s="2319"/>
      <c r="AQ74" s="2319"/>
      <c r="AR74" s="2319"/>
      <c r="AS74" s="2319"/>
      <c r="AT74" s="2319"/>
      <c r="AU74" s="2319"/>
      <c r="AV74" s="2319"/>
      <c r="AW74" s="2319"/>
      <c r="AX74" s="2319"/>
      <c r="AY74" s="2319"/>
      <c r="AZ74" s="2319"/>
      <c r="BA74" s="2319"/>
      <c r="BB74" s="2319"/>
      <c r="BC74" s="2320"/>
      <c r="BD74" s="1204"/>
      <c r="BE74" s="1210"/>
    </row>
    <row r="75" spans="1:65" ht="15.75" customHeight="1" thickBot="1">
      <c r="A75" s="1204"/>
      <c r="B75" s="2325" t="s">
        <v>125</v>
      </c>
      <c r="C75" s="2326"/>
      <c r="D75" s="2326"/>
      <c r="E75" s="2326"/>
      <c r="F75" s="2326"/>
      <c r="G75" s="2326"/>
      <c r="H75" s="2326"/>
      <c r="I75" s="2326"/>
      <c r="J75" s="2326"/>
      <c r="K75" s="2326"/>
      <c r="L75" s="2326"/>
      <c r="M75" s="2326"/>
      <c r="N75" s="2326"/>
      <c r="O75" s="2327">
        <f>SUM(O70:AA74)</f>
        <v>0</v>
      </c>
      <c r="P75" s="2327"/>
      <c r="Q75" s="2327"/>
      <c r="R75" s="2327"/>
      <c r="S75" s="2327"/>
      <c r="T75" s="2327"/>
      <c r="U75" s="2327"/>
      <c r="V75" s="2327"/>
      <c r="W75" s="2327"/>
      <c r="X75" s="2327"/>
      <c r="Y75" s="2327"/>
      <c r="Z75" s="2327"/>
      <c r="AA75" s="2328"/>
      <c r="AB75" s="1204"/>
      <c r="AC75" s="2318"/>
      <c r="AD75" s="2319"/>
      <c r="AE75" s="2319"/>
      <c r="AF75" s="2319"/>
      <c r="AG75" s="2319"/>
      <c r="AH75" s="2319"/>
      <c r="AI75" s="2319"/>
      <c r="AJ75" s="2319"/>
      <c r="AK75" s="2319"/>
      <c r="AL75" s="2319"/>
      <c r="AM75" s="2319"/>
      <c r="AN75" s="2319"/>
      <c r="AO75" s="2319"/>
      <c r="AP75" s="2319"/>
      <c r="AQ75" s="2319"/>
      <c r="AR75" s="2319"/>
      <c r="AS75" s="2319"/>
      <c r="AT75" s="2319"/>
      <c r="AU75" s="2319"/>
      <c r="AV75" s="2319"/>
      <c r="AW75" s="2319"/>
      <c r="AX75" s="2319"/>
      <c r="AY75" s="2319"/>
      <c r="AZ75" s="2319"/>
      <c r="BA75" s="2319"/>
      <c r="BB75" s="2319"/>
      <c r="BC75" s="2320"/>
      <c r="BD75" s="1204"/>
      <c r="BE75" s="1210"/>
    </row>
    <row r="76" spans="1:65" ht="15.75" customHeight="1">
      <c r="A76" s="1204"/>
      <c r="B76" s="1204"/>
      <c r="C76" s="1204"/>
      <c r="D76" s="1204"/>
      <c r="E76" s="1204"/>
      <c r="F76" s="1204"/>
      <c r="G76" s="1204"/>
      <c r="H76" s="1204"/>
      <c r="I76" s="1204"/>
      <c r="J76" s="1204"/>
      <c r="K76" s="1204"/>
      <c r="L76" s="1204"/>
      <c r="M76" s="1204"/>
      <c r="N76" s="1204"/>
      <c r="O76" s="1204"/>
      <c r="P76" s="1204"/>
      <c r="Q76" s="1204"/>
      <c r="R76" s="1204"/>
      <c r="S76" s="1204"/>
      <c r="T76" s="1204"/>
      <c r="U76" s="1204"/>
      <c r="V76" s="1204"/>
      <c r="W76" s="1204"/>
      <c r="X76" s="1204"/>
      <c r="Y76" s="1204"/>
      <c r="Z76" s="1204"/>
      <c r="AA76" s="1204"/>
      <c r="AB76" s="1204"/>
      <c r="AC76" s="2318"/>
      <c r="AD76" s="2319"/>
      <c r="AE76" s="2319"/>
      <c r="AF76" s="2319"/>
      <c r="AG76" s="2319"/>
      <c r="AH76" s="2319"/>
      <c r="AI76" s="2319"/>
      <c r="AJ76" s="2319"/>
      <c r="AK76" s="2319"/>
      <c r="AL76" s="2319"/>
      <c r="AM76" s="2319"/>
      <c r="AN76" s="2319"/>
      <c r="AO76" s="2319"/>
      <c r="AP76" s="2319"/>
      <c r="AQ76" s="2319"/>
      <c r="AR76" s="2319"/>
      <c r="AS76" s="2319"/>
      <c r="AT76" s="2319"/>
      <c r="AU76" s="2319"/>
      <c r="AV76" s="2319"/>
      <c r="AW76" s="2319"/>
      <c r="AX76" s="2319"/>
      <c r="AY76" s="2319"/>
      <c r="AZ76" s="2319"/>
      <c r="BA76" s="2319"/>
      <c r="BB76" s="2319"/>
      <c r="BC76" s="2320"/>
      <c r="BD76" s="1204"/>
      <c r="BE76" s="1210"/>
    </row>
    <row r="77" spans="1:65" ht="15.75" customHeight="1" thickBot="1">
      <c r="A77" s="1204"/>
      <c r="B77" s="1218" t="s">
        <v>1897</v>
      </c>
      <c r="C77" s="1219"/>
      <c r="D77" s="1219"/>
      <c r="E77" s="1219"/>
      <c r="F77" s="1219"/>
      <c r="G77" s="1219"/>
      <c r="H77" s="1219"/>
      <c r="I77" s="1219"/>
      <c r="J77" s="1219"/>
      <c r="K77" s="1219"/>
      <c r="L77" s="1219"/>
      <c r="M77" s="1219"/>
      <c r="N77" s="1219"/>
      <c r="O77" s="1219"/>
      <c r="P77" s="1219"/>
      <c r="Q77" s="1204"/>
      <c r="R77" s="1204"/>
      <c r="S77" s="1204"/>
      <c r="T77" s="1204"/>
      <c r="U77" s="1204"/>
      <c r="V77" s="1204"/>
      <c r="W77" s="1204"/>
      <c r="X77" s="1204"/>
      <c r="Y77" s="1204"/>
      <c r="Z77" s="1204"/>
      <c r="AA77" s="1204"/>
      <c r="AB77" s="1204"/>
      <c r="AC77" s="2321"/>
      <c r="AD77" s="2322"/>
      <c r="AE77" s="2322"/>
      <c r="AF77" s="2322"/>
      <c r="AG77" s="2322"/>
      <c r="AH77" s="2322"/>
      <c r="AI77" s="2322"/>
      <c r="AJ77" s="2322"/>
      <c r="AK77" s="2322"/>
      <c r="AL77" s="2322"/>
      <c r="AM77" s="2322"/>
      <c r="AN77" s="2322"/>
      <c r="AO77" s="2322"/>
      <c r="AP77" s="2322"/>
      <c r="AQ77" s="2322"/>
      <c r="AR77" s="2322"/>
      <c r="AS77" s="2322"/>
      <c r="AT77" s="2322"/>
      <c r="AU77" s="2322"/>
      <c r="AV77" s="2322"/>
      <c r="AW77" s="2322"/>
      <c r="AX77" s="2322"/>
      <c r="AY77" s="2322"/>
      <c r="AZ77" s="2322"/>
      <c r="BA77" s="2322"/>
      <c r="BB77" s="2322"/>
      <c r="BC77" s="2323"/>
      <c r="BD77" s="1204"/>
      <c r="BE77" s="1210"/>
    </row>
    <row r="78" spans="1:65" ht="15.75" customHeight="1" thickBot="1">
      <c r="A78" s="1204"/>
      <c r="B78" s="1204"/>
      <c r="C78" s="1204"/>
      <c r="D78" s="1204"/>
      <c r="E78" s="1204"/>
      <c r="F78" s="1204"/>
      <c r="G78" s="1204"/>
      <c r="H78" s="1204"/>
      <c r="I78" s="1204"/>
      <c r="J78" s="1204"/>
      <c r="K78" s="1204"/>
      <c r="L78" s="1204"/>
      <c r="M78" s="1204"/>
      <c r="N78" s="1204"/>
      <c r="O78" s="1204"/>
      <c r="P78" s="1204"/>
      <c r="Q78" s="1204"/>
      <c r="R78" s="1204"/>
      <c r="S78" s="1204"/>
      <c r="T78" s="1204"/>
      <c r="U78" s="1204"/>
      <c r="V78" s="1204"/>
      <c r="W78" s="1204"/>
      <c r="X78" s="1204"/>
      <c r="Y78" s="1204"/>
      <c r="Z78" s="1204"/>
      <c r="AA78" s="1204"/>
      <c r="AB78" s="1204"/>
      <c r="AC78" s="1204"/>
      <c r="AD78" s="1204"/>
      <c r="AE78" s="1204"/>
      <c r="AF78" s="1204"/>
      <c r="AG78" s="1204"/>
      <c r="AH78" s="1204"/>
      <c r="AI78" s="1204"/>
      <c r="AJ78" s="1204"/>
      <c r="AK78" s="1204"/>
      <c r="AL78" s="1204"/>
      <c r="AM78" s="1204"/>
      <c r="AN78" s="1204"/>
      <c r="AO78" s="1204"/>
      <c r="AP78" s="1204"/>
      <c r="AQ78" s="1204"/>
      <c r="AR78" s="1204"/>
      <c r="AS78" s="1204"/>
      <c r="AT78" s="1204"/>
      <c r="AU78" s="1204"/>
      <c r="AV78" s="1204"/>
      <c r="AW78" s="1204"/>
      <c r="AX78" s="1204"/>
      <c r="AY78" s="1204"/>
      <c r="AZ78" s="1204"/>
      <c r="BA78" s="1204"/>
      <c r="BB78" s="1204"/>
      <c r="BC78" s="1204"/>
      <c r="BD78" s="1204"/>
      <c r="BE78" s="1210"/>
    </row>
    <row r="79" spans="1:65" ht="15.75" customHeight="1">
      <c r="A79" s="1204"/>
      <c r="B79" s="2329" t="s">
        <v>2246</v>
      </c>
      <c r="C79" s="2330"/>
      <c r="D79" s="2330"/>
      <c r="E79" s="2330"/>
      <c r="F79" s="2330"/>
      <c r="G79" s="2330"/>
      <c r="H79" s="2330"/>
      <c r="I79" s="2330"/>
      <c r="J79" s="2330"/>
      <c r="K79" s="2330"/>
      <c r="L79" s="2330"/>
      <c r="M79" s="2330"/>
      <c r="N79" s="2330"/>
      <c r="O79" s="2330"/>
      <c r="P79" s="2330"/>
      <c r="Q79" s="2330"/>
      <c r="R79" s="2330"/>
      <c r="S79" s="2330"/>
      <c r="T79" s="2330"/>
      <c r="U79" s="2330"/>
      <c r="V79" s="2330"/>
      <c r="W79" s="2330"/>
      <c r="X79" s="2330"/>
      <c r="Y79" s="2330"/>
      <c r="Z79" s="2330"/>
      <c r="AA79" s="2330"/>
      <c r="AB79" s="2330"/>
      <c r="AC79" s="2330"/>
      <c r="AD79" s="2330"/>
      <c r="AE79" s="2330"/>
      <c r="AF79" s="2330"/>
      <c r="AG79" s="2330"/>
      <c r="AH79" s="2331"/>
      <c r="AI79" s="1204"/>
      <c r="AJ79" s="2332" t="s">
        <v>2588</v>
      </c>
      <c r="AK79" s="2333"/>
      <c r="AL79" s="2333"/>
      <c r="AM79" s="2333"/>
      <c r="AN79" s="2333"/>
      <c r="AO79" s="2333"/>
      <c r="AP79" s="2333"/>
      <c r="AQ79" s="2333"/>
      <c r="AR79" s="2333"/>
      <c r="AS79" s="2333"/>
      <c r="AT79" s="2333"/>
      <c r="AU79" s="2333"/>
      <c r="AV79" s="2333"/>
      <c r="AW79" s="2333"/>
      <c r="AX79" s="2333"/>
      <c r="AY79" s="2336" t="s">
        <v>555</v>
      </c>
      <c r="AZ79" s="2336"/>
      <c r="BA79" s="2336"/>
      <c r="BB79" s="2337"/>
      <c r="BC79" s="1204"/>
      <c r="BD79" s="1204"/>
      <c r="BE79" s="1210"/>
    </row>
    <row r="80" spans="1:65" ht="15.75" customHeight="1">
      <c r="A80" s="1204"/>
      <c r="B80" s="2265"/>
      <c r="C80" s="2266"/>
      <c r="D80" s="2266"/>
      <c r="E80" s="2266"/>
      <c r="F80" s="2266"/>
      <c r="G80" s="2266"/>
      <c r="H80" s="2266"/>
      <c r="I80" s="2266" t="s">
        <v>1898</v>
      </c>
      <c r="J80" s="2266"/>
      <c r="K80" s="2266"/>
      <c r="L80" s="2266"/>
      <c r="M80" s="2266"/>
      <c r="N80" s="2266"/>
      <c r="O80" s="2266" t="s">
        <v>1899</v>
      </c>
      <c r="P80" s="2266"/>
      <c r="Q80" s="2266"/>
      <c r="R80" s="2266"/>
      <c r="S80" s="2266"/>
      <c r="T80" s="2266"/>
      <c r="U80" s="2266"/>
      <c r="V80" s="2340" t="s">
        <v>2261</v>
      </c>
      <c r="W80" s="2340"/>
      <c r="X80" s="2340"/>
      <c r="Y80" s="2340"/>
      <c r="Z80" s="2340"/>
      <c r="AA80" s="2340"/>
      <c r="AB80" s="2245" t="s">
        <v>1900</v>
      </c>
      <c r="AC80" s="2245"/>
      <c r="AD80" s="2245"/>
      <c r="AE80" s="2245"/>
      <c r="AF80" s="2245"/>
      <c r="AG80" s="2245"/>
      <c r="AH80" s="2246"/>
      <c r="AI80" s="1204"/>
      <c r="AJ80" s="2334"/>
      <c r="AK80" s="2335"/>
      <c r="AL80" s="2335"/>
      <c r="AM80" s="2335"/>
      <c r="AN80" s="2335"/>
      <c r="AO80" s="2335"/>
      <c r="AP80" s="2335"/>
      <c r="AQ80" s="2335"/>
      <c r="AR80" s="2335"/>
      <c r="AS80" s="2335"/>
      <c r="AT80" s="2335"/>
      <c r="AU80" s="2335"/>
      <c r="AV80" s="2335"/>
      <c r="AW80" s="2335"/>
      <c r="AX80" s="2335"/>
      <c r="AY80" s="2338"/>
      <c r="AZ80" s="2338"/>
      <c r="BA80" s="2338"/>
      <c r="BB80" s="2339"/>
      <c r="BC80" s="1204"/>
      <c r="BD80" s="1204"/>
      <c r="BE80" s="1210"/>
    </row>
    <row r="81" spans="1:57" ht="15.75" customHeight="1">
      <c r="A81" s="1204"/>
      <c r="B81" s="2265"/>
      <c r="C81" s="2266"/>
      <c r="D81" s="2266"/>
      <c r="E81" s="2266"/>
      <c r="F81" s="2266"/>
      <c r="G81" s="2266"/>
      <c r="H81" s="2266"/>
      <c r="I81" s="2266"/>
      <c r="J81" s="2266"/>
      <c r="K81" s="2266"/>
      <c r="L81" s="2266"/>
      <c r="M81" s="2266"/>
      <c r="N81" s="2266"/>
      <c r="O81" s="2266"/>
      <c r="P81" s="2266"/>
      <c r="Q81" s="2266"/>
      <c r="R81" s="2266"/>
      <c r="S81" s="2266"/>
      <c r="T81" s="2266"/>
      <c r="U81" s="2266"/>
      <c r="V81" s="2340"/>
      <c r="W81" s="2340"/>
      <c r="X81" s="2340"/>
      <c r="Y81" s="2340"/>
      <c r="Z81" s="2340"/>
      <c r="AA81" s="2340"/>
      <c r="AB81" s="2245"/>
      <c r="AC81" s="2245"/>
      <c r="AD81" s="2245"/>
      <c r="AE81" s="2245"/>
      <c r="AF81" s="2245"/>
      <c r="AG81" s="2245"/>
      <c r="AH81" s="2246"/>
      <c r="AI81" s="1204"/>
      <c r="AJ81" s="2334"/>
      <c r="AK81" s="2335"/>
      <c r="AL81" s="2335"/>
      <c r="AM81" s="2335"/>
      <c r="AN81" s="2335"/>
      <c r="AO81" s="2335"/>
      <c r="AP81" s="2335"/>
      <c r="AQ81" s="2335"/>
      <c r="AR81" s="2335"/>
      <c r="AS81" s="2335"/>
      <c r="AT81" s="2335"/>
      <c r="AU81" s="2335"/>
      <c r="AV81" s="2335"/>
      <c r="AW81" s="2335"/>
      <c r="AX81" s="2335"/>
      <c r="AY81" s="2338"/>
      <c r="AZ81" s="2338"/>
      <c r="BA81" s="2338"/>
      <c r="BB81" s="2339"/>
      <c r="BC81" s="1204"/>
      <c r="BD81" s="1204"/>
      <c r="BE81" s="1210"/>
    </row>
    <row r="82" spans="1:57" ht="15.75" customHeight="1">
      <c r="A82" s="1204"/>
      <c r="B82" s="2265" t="s">
        <v>2247</v>
      </c>
      <c r="C82" s="2266"/>
      <c r="D82" s="2266"/>
      <c r="E82" s="2266"/>
      <c r="F82" s="2266"/>
      <c r="G82" s="2266"/>
      <c r="H82" s="2266"/>
      <c r="I82" s="2341">
        <v>2</v>
      </c>
      <c r="J82" s="2341"/>
      <c r="K82" s="2341"/>
      <c r="L82" s="2341"/>
      <c r="M82" s="2341"/>
      <c r="N82" s="2341"/>
      <c r="O82" s="2341">
        <v>2</v>
      </c>
      <c r="P82" s="2341"/>
      <c r="Q82" s="2341"/>
      <c r="R82" s="2341"/>
      <c r="S82" s="2341"/>
      <c r="T82" s="2341"/>
      <c r="U82" s="2341"/>
      <c r="V82" s="2341">
        <v>1</v>
      </c>
      <c r="W82" s="2341"/>
      <c r="X82" s="2341"/>
      <c r="Y82" s="2341"/>
      <c r="Z82" s="2341"/>
      <c r="AA82" s="2341"/>
      <c r="AB82" s="2341">
        <v>0</v>
      </c>
      <c r="AC82" s="2341"/>
      <c r="AD82" s="2341"/>
      <c r="AE82" s="2341"/>
      <c r="AF82" s="2341"/>
      <c r="AG82" s="2341"/>
      <c r="AH82" s="2350"/>
      <c r="AI82" s="1204"/>
      <c r="AJ82" s="2334"/>
      <c r="AK82" s="2335"/>
      <c r="AL82" s="2335"/>
      <c r="AM82" s="2335"/>
      <c r="AN82" s="2335"/>
      <c r="AO82" s="2335"/>
      <c r="AP82" s="2335"/>
      <c r="AQ82" s="2335"/>
      <c r="AR82" s="2335"/>
      <c r="AS82" s="2335"/>
      <c r="AT82" s="2335"/>
      <c r="AU82" s="2335"/>
      <c r="AV82" s="2335"/>
      <c r="AW82" s="2335"/>
      <c r="AX82" s="2335"/>
      <c r="AY82" s="2338"/>
      <c r="AZ82" s="2338"/>
      <c r="BA82" s="2338"/>
      <c r="BB82" s="2339"/>
      <c r="BC82" s="1204"/>
      <c r="BD82" s="1204"/>
      <c r="BE82" s="1210"/>
    </row>
    <row r="83" spans="1:57" ht="15.75" customHeight="1">
      <c r="A83" s="1204"/>
      <c r="B83" s="2265" t="s">
        <v>2248</v>
      </c>
      <c r="C83" s="2266"/>
      <c r="D83" s="2266"/>
      <c r="E83" s="2266"/>
      <c r="F83" s="2266"/>
      <c r="G83" s="2266"/>
      <c r="H83" s="2266"/>
      <c r="I83" s="2341">
        <v>4</v>
      </c>
      <c r="J83" s="2341"/>
      <c r="K83" s="2341"/>
      <c r="L83" s="2341"/>
      <c r="M83" s="2341"/>
      <c r="N83" s="2341"/>
      <c r="O83" s="2341">
        <v>1</v>
      </c>
      <c r="P83" s="2341"/>
      <c r="Q83" s="2341"/>
      <c r="R83" s="2341"/>
      <c r="S83" s="2341"/>
      <c r="T83" s="2341"/>
      <c r="U83" s="2341"/>
      <c r="V83" s="2341">
        <v>2</v>
      </c>
      <c r="W83" s="2341"/>
      <c r="X83" s="2341"/>
      <c r="Y83" s="2341"/>
      <c r="Z83" s="2341"/>
      <c r="AA83" s="2341"/>
      <c r="AB83" s="2341">
        <v>0</v>
      </c>
      <c r="AC83" s="2341"/>
      <c r="AD83" s="2341"/>
      <c r="AE83" s="2341"/>
      <c r="AF83" s="2341"/>
      <c r="AG83" s="2341"/>
      <c r="AH83" s="2350"/>
      <c r="AI83" s="1204"/>
      <c r="AJ83" s="2342" t="s">
        <v>2589</v>
      </c>
      <c r="AK83" s="2343"/>
      <c r="AL83" s="2343"/>
      <c r="AM83" s="2343"/>
      <c r="AN83" s="2343"/>
      <c r="AO83" s="2343"/>
      <c r="AP83" s="2343"/>
      <c r="AQ83" s="2343"/>
      <c r="AR83" s="2343"/>
      <c r="AS83" s="2343"/>
      <c r="AT83" s="2343"/>
      <c r="AU83" s="2343"/>
      <c r="AV83" s="2343"/>
      <c r="AW83" s="2343"/>
      <c r="AX83" s="2343"/>
      <c r="AY83" s="2343"/>
      <c r="AZ83" s="2343"/>
      <c r="BA83" s="2343"/>
      <c r="BB83" s="2344"/>
      <c r="BC83" s="1204"/>
      <c r="BD83" s="1204"/>
      <c r="BE83" s="1210"/>
    </row>
    <row r="84" spans="1:57" ht="15.75" customHeight="1" thickBot="1">
      <c r="A84" s="1204"/>
      <c r="B84" s="2283" t="s">
        <v>1901</v>
      </c>
      <c r="C84" s="2284"/>
      <c r="D84" s="2284"/>
      <c r="E84" s="2284"/>
      <c r="F84" s="2284"/>
      <c r="G84" s="2284"/>
      <c r="H84" s="2284"/>
      <c r="I84" s="2348">
        <v>923</v>
      </c>
      <c r="J84" s="2348"/>
      <c r="K84" s="2348"/>
      <c r="L84" s="2348"/>
      <c r="M84" s="2348"/>
      <c r="N84" s="2348"/>
      <c r="O84" s="2348">
        <v>531</v>
      </c>
      <c r="P84" s="2348"/>
      <c r="Q84" s="2348"/>
      <c r="R84" s="2348"/>
      <c r="S84" s="2348"/>
      <c r="T84" s="2348"/>
      <c r="U84" s="2348"/>
      <c r="V84" s="2348">
        <v>442</v>
      </c>
      <c r="W84" s="2348"/>
      <c r="X84" s="2348"/>
      <c r="Y84" s="2348"/>
      <c r="Z84" s="2348"/>
      <c r="AA84" s="2348"/>
      <c r="AB84" s="2348">
        <v>0</v>
      </c>
      <c r="AC84" s="2348"/>
      <c r="AD84" s="2348"/>
      <c r="AE84" s="2348"/>
      <c r="AF84" s="2348"/>
      <c r="AG84" s="2348"/>
      <c r="AH84" s="2349"/>
      <c r="AI84" s="1204"/>
      <c r="AJ84" s="2345"/>
      <c r="AK84" s="2346"/>
      <c r="AL84" s="2346"/>
      <c r="AM84" s="2346"/>
      <c r="AN84" s="2346"/>
      <c r="AO84" s="2346"/>
      <c r="AP84" s="2346"/>
      <c r="AQ84" s="2346"/>
      <c r="AR84" s="2346"/>
      <c r="AS84" s="2346"/>
      <c r="AT84" s="2346"/>
      <c r="AU84" s="2346"/>
      <c r="AV84" s="2346"/>
      <c r="AW84" s="2346"/>
      <c r="AX84" s="2346"/>
      <c r="AY84" s="2346"/>
      <c r="AZ84" s="2346"/>
      <c r="BA84" s="2346"/>
      <c r="BB84" s="2347"/>
      <c r="BC84" s="1204"/>
      <c r="BD84" s="1204"/>
      <c r="BE84" s="1210"/>
    </row>
    <row r="85" spans="1:57" ht="15.75" customHeight="1">
      <c r="A85" s="1204"/>
      <c r="B85" s="1204"/>
      <c r="C85" s="1204"/>
      <c r="D85" s="1204"/>
      <c r="E85" s="1204"/>
      <c r="F85" s="1204"/>
      <c r="G85" s="1204"/>
      <c r="H85" s="1204"/>
      <c r="I85" s="1204"/>
      <c r="J85" s="1204"/>
      <c r="K85" s="1204"/>
      <c r="L85" s="1204"/>
      <c r="M85" s="1204"/>
      <c r="N85" s="1204"/>
      <c r="O85" s="1204"/>
      <c r="P85" s="1204"/>
      <c r="Q85" s="1204"/>
      <c r="R85" s="1204"/>
      <c r="S85" s="1204"/>
      <c r="T85" s="1204"/>
      <c r="U85" s="1204"/>
      <c r="V85" s="1204"/>
      <c r="W85" s="1204"/>
      <c r="X85" s="1204"/>
      <c r="Y85" s="1204"/>
      <c r="Z85" s="1204"/>
      <c r="AA85" s="1204"/>
      <c r="AB85" s="1204"/>
      <c r="AC85" s="1204"/>
      <c r="AD85" s="1204"/>
      <c r="AE85" s="1204"/>
      <c r="AF85" s="1204"/>
      <c r="AG85" s="1204"/>
      <c r="AH85" s="1204"/>
      <c r="AI85" s="1204"/>
      <c r="AJ85" s="1204"/>
      <c r="AK85" s="1204"/>
      <c r="AL85" s="1204"/>
      <c r="AM85" s="1204"/>
      <c r="AN85" s="1204"/>
      <c r="AO85" s="1204"/>
      <c r="AP85" s="1204"/>
      <c r="AQ85" s="1204"/>
      <c r="AR85" s="1204"/>
      <c r="AS85" s="1204"/>
      <c r="AT85" s="1204"/>
      <c r="AU85" s="1204"/>
      <c r="AV85" s="1204"/>
      <c r="AW85" s="1204"/>
      <c r="AX85" s="1204"/>
      <c r="AY85" s="1204"/>
      <c r="AZ85" s="1204"/>
      <c r="BA85" s="1204"/>
      <c r="BB85" s="1204"/>
      <c r="BC85" s="1204"/>
      <c r="BD85" s="1204"/>
      <c r="BE85" s="1210"/>
    </row>
    <row r="86" spans="1:57" ht="15.75" customHeight="1">
      <c r="A86" s="1204"/>
      <c r="B86" s="1214" t="s">
        <v>1902</v>
      </c>
      <c r="P86" s="1204"/>
      <c r="Q86" s="1204"/>
      <c r="R86" s="1204"/>
      <c r="S86" s="1204" t="s">
        <v>252</v>
      </c>
      <c r="T86" s="1204"/>
      <c r="U86" s="1204"/>
      <c r="V86" s="1204"/>
      <c r="W86" s="1204"/>
      <c r="X86" s="1204"/>
      <c r="Y86" s="1204"/>
      <c r="Z86" s="1204"/>
      <c r="AA86" s="1204"/>
      <c r="AB86" s="1204"/>
      <c r="AC86" s="1204"/>
      <c r="AD86" s="1204"/>
      <c r="AE86" s="1204"/>
      <c r="AF86" s="1204"/>
      <c r="AG86" s="1204"/>
      <c r="AH86" s="1204"/>
      <c r="AI86" s="1204"/>
      <c r="AJ86" s="1204"/>
      <c r="AK86" s="1204"/>
      <c r="AL86" s="1204"/>
      <c r="AM86" s="1204"/>
      <c r="AN86" s="1204"/>
      <c r="AO86" s="1204"/>
      <c r="AP86" s="1204"/>
      <c r="AQ86" s="1204"/>
      <c r="AR86" s="1204"/>
      <c r="AS86" s="1204"/>
      <c r="AT86" s="1204"/>
      <c r="AU86" s="1204"/>
      <c r="AV86" s="1204"/>
      <c r="AW86" s="1204"/>
      <c r="AX86" s="1204"/>
      <c r="AY86" s="1204"/>
      <c r="AZ86" s="1204"/>
      <c r="BA86" s="1204"/>
      <c r="BB86" s="1204"/>
      <c r="BC86" s="1204"/>
      <c r="BD86" s="1204"/>
      <c r="BE86" s="1210"/>
    </row>
    <row r="87" spans="1:57" ht="15.75" customHeight="1" thickBot="1">
      <c r="A87" s="1204"/>
      <c r="B87" s="1204"/>
      <c r="C87" s="1204"/>
      <c r="D87" s="1204"/>
      <c r="E87" s="1204"/>
      <c r="F87" s="1204"/>
      <c r="G87" s="1204"/>
      <c r="H87" s="1204"/>
      <c r="I87" s="1204"/>
      <c r="J87" s="1204"/>
      <c r="K87" s="1204"/>
      <c r="L87" s="1204"/>
      <c r="M87" s="1204"/>
      <c r="N87" s="1204"/>
      <c r="O87" s="1204"/>
      <c r="P87" s="1220"/>
      <c r="Q87" s="1204"/>
      <c r="R87" s="1204"/>
      <c r="S87" s="1204"/>
      <c r="T87" s="1204"/>
      <c r="U87" s="1204"/>
      <c r="V87" s="1204"/>
      <c r="W87" s="1204"/>
      <c r="X87" s="1204"/>
      <c r="Y87" s="1204"/>
      <c r="Z87" s="1204"/>
      <c r="AA87" s="1204"/>
      <c r="AB87" s="1204"/>
      <c r="AC87" s="1204"/>
      <c r="AD87" s="1204"/>
      <c r="AE87" s="1204"/>
      <c r="AF87" s="1204"/>
      <c r="AG87" s="1204"/>
      <c r="AH87" s="1204"/>
      <c r="AI87" s="1204"/>
      <c r="AJ87" s="1204"/>
      <c r="AK87" s="1204"/>
      <c r="AL87" s="1204"/>
      <c r="AM87" s="1204"/>
      <c r="AN87" s="1204"/>
      <c r="AO87" s="1204"/>
      <c r="AP87" s="1204"/>
      <c r="AQ87" s="1204"/>
      <c r="AR87" s="1204"/>
      <c r="AS87" s="1204"/>
      <c r="AT87" s="1204"/>
      <c r="AU87" s="1204"/>
      <c r="AV87" s="1204"/>
      <c r="AW87" s="1204"/>
      <c r="AX87" s="1204"/>
      <c r="AY87" s="1204"/>
      <c r="AZ87" s="1204"/>
      <c r="BA87" s="1204"/>
      <c r="BB87" s="1204"/>
      <c r="BC87" s="1204"/>
      <c r="BD87" s="1204"/>
      <c r="BE87" s="1210"/>
    </row>
    <row r="88" spans="1:57" ht="15.75" customHeight="1">
      <c r="A88" s="1204"/>
      <c r="B88" s="2314" t="s">
        <v>1903</v>
      </c>
      <c r="C88" s="2315"/>
      <c r="D88" s="2315"/>
      <c r="E88" s="2315"/>
      <c r="F88" s="2315"/>
      <c r="G88" s="2315"/>
      <c r="H88" s="2315"/>
      <c r="I88" s="2315"/>
      <c r="J88" s="2315"/>
      <c r="K88" s="2315"/>
      <c r="L88" s="2315"/>
      <c r="M88" s="2315"/>
      <c r="N88" s="2315"/>
      <c r="O88" s="2315"/>
      <c r="P88" s="2315"/>
      <c r="Q88" s="2315"/>
      <c r="R88" s="2315"/>
      <c r="S88" s="2315"/>
      <c r="T88" s="2315"/>
      <c r="U88" s="2315"/>
      <c r="V88" s="2315"/>
      <c r="W88" s="2315"/>
      <c r="X88" s="2315"/>
      <c r="Y88" s="2315"/>
      <c r="Z88" s="2315"/>
      <c r="AA88" s="2315"/>
      <c r="AB88" s="2315"/>
      <c r="AC88" s="2315"/>
      <c r="AD88" s="2315"/>
      <c r="AE88" s="2315"/>
      <c r="AF88" s="2315"/>
      <c r="AG88" s="2315"/>
      <c r="AH88" s="2351"/>
      <c r="AI88" s="1204"/>
      <c r="AJ88" s="2332" t="s">
        <v>2590</v>
      </c>
      <c r="AK88" s="2333"/>
      <c r="AL88" s="2333"/>
      <c r="AM88" s="2333"/>
      <c r="AN88" s="2333"/>
      <c r="AO88" s="2333"/>
      <c r="AP88" s="2333"/>
      <c r="AQ88" s="2333"/>
      <c r="AR88" s="2333"/>
      <c r="AS88" s="2333"/>
      <c r="AT88" s="2333"/>
      <c r="AU88" s="2333"/>
      <c r="AV88" s="2333"/>
      <c r="AW88" s="2333"/>
      <c r="AX88" s="2333"/>
      <c r="AY88" s="2336" t="s">
        <v>555</v>
      </c>
      <c r="AZ88" s="2336"/>
      <c r="BA88" s="2336"/>
      <c r="BB88" s="2337"/>
      <c r="BC88" s="1204"/>
      <c r="BD88" s="1204"/>
      <c r="BE88" s="1210"/>
    </row>
    <row r="89" spans="1:57" ht="16.5" customHeight="1">
      <c r="A89" s="1204"/>
      <c r="B89" s="2265"/>
      <c r="C89" s="2266"/>
      <c r="D89" s="2266"/>
      <c r="E89" s="2266"/>
      <c r="F89" s="2266"/>
      <c r="G89" s="2266"/>
      <c r="H89" s="2266"/>
      <c r="I89" s="2266" t="s">
        <v>1898</v>
      </c>
      <c r="J89" s="2266"/>
      <c r="K89" s="2266"/>
      <c r="L89" s="2266"/>
      <c r="M89" s="2266"/>
      <c r="N89" s="2266"/>
      <c r="O89" s="2266" t="s">
        <v>1899</v>
      </c>
      <c r="P89" s="2266"/>
      <c r="Q89" s="2266"/>
      <c r="R89" s="2266"/>
      <c r="S89" s="2266"/>
      <c r="T89" s="2266"/>
      <c r="U89" s="2266"/>
      <c r="V89" s="2340" t="s">
        <v>2261</v>
      </c>
      <c r="W89" s="2340"/>
      <c r="X89" s="2340"/>
      <c r="Y89" s="2340"/>
      <c r="Z89" s="2340"/>
      <c r="AA89" s="2340"/>
      <c r="AB89" s="2245" t="s">
        <v>1900</v>
      </c>
      <c r="AC89" s="2245"/>
      <c r="AD89" s="2245"/>
      <c r="AE89" s="2245"/>
      <c r="AF89" s="2245"/>
      <c r="AG89" s="2245"/>
      <c r="AH89" s="2246"/>
      <c r="AI89" s="1204"/>
      <c r="AJ89" s="2334"/>
      <c r="AK89" s="2335"/>
      <c r="AL89" s="2335"/>
      <c r="AM89" s="2335"/>
      <c r="AN89" s="2335"/>
      <c r="AO89" s="2335"/>
      <c r="AP89" s="2335"/>
      <c r="AQ89" s="2335"/>
      <c r="AR89" s="2335"/>
      <c r="AS89" s="2335"/>
      <c r="AT89" s="2335"/>
      <c r="AU89" s="2335"/>
      <c r="AV89" s="2335"/>
      <c r="AW89" s="2335"/>
      <c r="AX89" s="2335"/>
      <c r="AY89" s="2338"/>
      <c r="AZ89" s="2338"/>
      <c r="BA89" s="2338"/>
      <c r="BB89" s="2339"/>
      <c r="BC89" s="1204"/>
      <c r="BD89" s="1204"/>
      <c r="BE89" s="1210"/>
    </row>
    <row r="90" spans="1:57" ht="16.5" customHeight="1">
      <c r="A90" s="1204"/>
      <c r="B90" s="2265"/>
      <c r="C90" s="2266"/>
      <c r="D90" s="2266"/>
      <c r="E90" s="2266"/>
      <c r="F90" s="2266"/>
      <c r="G90" s="2266"/>
      <c r="H90" s="2266"/>
      <c r="I90" s="2266"/>
      <c r="J90" s="2266"/>
      <c r="K90" s="2266"/>
      <c r="L90" s="2266"/>
      <c r="M90" s="2266"/>
      <c r="N90" s="2266"/>
      <c r="O90" s="2266"/>
      <c r="P90" s="2266"/>
      <c r="Q90" s="2266"/>
      <c r="R90" s="2266"/>
      <c r="S90" s="2266"/>
      <c r="T90" s="2266"/>
      <c r="U90" s="2266"/>
      <c r="V90" s="2340"/>
      <c r="W90" s="2340"/>
      <c r="X90" s="2340"/>
      <c r="Y90" s="2340"/>
      <c r="Z90" s="2340"/>
      <c r="AA90" s="2340"/>
      <c r="AB90" s="2245"/>
      <c r="AC90" s="2245"/>
      <c r="AD90" s="2245"/>
      <c r="AE90" s="2245"/>
      <c r="AF90" s="2245"/>
      <c r="AG90" s="2245"/>
      <c r="AH90" s="2246"/>
      <c r="AI90" s="1204"/>
      <c r="AJ90" s="2334"/>
      <c r="AK90" s="2335"/>
      <c r="AL90" s="2335"/>
      <c r="AM90" s="2335"/>
      <c r="AN90" s="2335"/>
      <c r="AO90" s="2335"/>
      <c r="AP90" s="2335"/>
      <c r="AQ90" s="2335"/>
      <c r="AR90" s="2335"/>
      <c r="AS90" s="2335"/>
      <c r="AT90" s="2335"/>
      <c r="AU90" s="2335"/>
      <c r="AV90" s="2335"/>
      <c r="AW90" s="2335"/>
      <c r="AX90" s="2335"/>
      <c r="AY90" s="2338"/>
      <c r="AZ90" s="2338"/>
      <c r="BA90" s="2338"/>
      <c r="BB90" s="2339"/>
      <c r="BC90" s="1204"/>
      <c r="BD90" s="1204"/>
      <c r="BE90" s="1210"/>
    </row>
    <row r="91" spans="1:57" ht="15.75" customHeight="1">
      <c r="A91" s="1204"/>
      <c r="B91" s="2265" t="s">
        <v>2247</v>
      </c>
      <c r="C91" s="2266"/>
      <c r="D91" s="2266"/>
      <c r="E91" s="2266"/>
      <c r="F91" s="2266"/>
      <c r="G91" s="2266"/>
      <c r="H91" s="2266"/>
      <c r="I91" s="2341">
        <v>26</v>
      </c>
      <c r="J91" s="2341"/>
      <c r="K91" s="2341"/>
      <c r="L91" s="2341"/>
      <c r="M91" s="2341"/>
      <c r="N91" s="2341"/>
      <c r="O91" s="2341">
        <v>4</v>
      </c>
      <c r="P91" s="2341"/>
      <c r="Q91" s="2341"/>
      <c r="R91" s="2341"/>
      <c r="S91" s="2341"/>
      <c r="T91" s="2341"/>
      <c r="U91" s="2341"/>
      <c r="V91" s="2341">
        <v>50</v>
      </c>
      <c r="W91" s="2341"/>
      <c r="X91" s="2341"/>
      <c r="Y91" s="2341"/>
      <c r="Z91" s="2341"/>
      <c r="AA91" s="2341"/>
      <c r="AB91" s="2341">
        <v>1</v>
      </c>
      <c r="AC91" s="2341"/>
      <c r="AD91" s="2341"/>
      <c r="AE91" s="2341"/>
      <c r="AF91" s="2341"/>
      <c r="AG91" s="2341"/>
      <c r="AH91" s="2350"/>
      <c r="AI91" s="1204"/>
      <c r="AJ91" s="2334"/>
      <c r="AK91" s="2335"/>
      <c r="AL91" s="2335"/>
      <c r="AM91" s="2335"/>
      <c r="AN91" s="2335"/>
      <c r="AO91" s="2335"/>
      <c r="AP91" s="2335"/>
      <c r="AQ91" s="2335"/>
      <c r="AR91" s="2335"/>
      <c r="AS91" s="2335"/>
      <c r="AT91" s="2335"/>
      <c r="AU91" s="2335"/>
      <c r="AV91" s="2335"/>
      <c r="AW91" s="2335"/>
      <c r="AX91" s="2335"/>
      <c r="AY91" s="2338"/>
      <c r="AZ91" s="2338"/>
      <c r="BA91" s="2338"/>
      <c r="BB91" s="2339"/>
      <c r="BC91" s="1204"/>
      <c r="BD91" s="1204"/>
      <c r="BE91" s="1210"/>
    </row>
    <row r="92" spans="1:57" ht="15.75" customHeight="1">
      <c r="A92" s="1204"/>
      <c r="B92" s="2265" t="s">
        <v>2248</v>
      </c>
      <c r="C92" s="2266"/>
      <c r="D92" s="2266"/>
      <c r="E92" s="2266"/>
      <c r="F92" s="2266"/>
      <c r="G92" s="2266"/>
      <c r="H92" s="2266"/>
      <c r="I92" s="2341">
        <v>0</v>
      </c>
      <c r="J92" s="2341"/>
      <c r="K92" s="2341"/>
      <c r="L92" s="2341"/>
      <c r="M92" s="2341"/>
      <c r="N92" s="2341"/>
      <c r="O92" s="2341">
        <v>0</v>
      </c>
      <c r="P92" s="2341"/>
      <c r="Q92" s="2341"/>
      <c r="R92" s="2341"/>
      <c r="S92" s="2341"/>
      <c r="T92" s="2341"/>
      <c r="U92" s="2341"/>
      <c r="V92" s="2341">
        <v>0</v>
      </c>
      <c r="W92" s="2341"/>
      <c r="X92" s="2341"/>
      <c r="Y92" s="2341"/>
      <c r="Z92" s="2341"/>
      <c r="AA92" s="2341"/>
      <c r="AB92" s="2341">
        <v>0</v>
      </c>
      <c r="AC92" s="2341"/>
      <c r="AD92" s="2341"/>
      <c r="AE92" s="2341"/>
      <c r="AF92" s="2341"/>
      <c r="AG92" s="2341"/>
      <c r="AH92" s="2350"/>
      <c r="AI92" s="1204"/>
      <c r="AJ92" s="2342" t="s">
        <v>2262</v>
      </c>
      <c r="AK92" s="2343"/>
      <c r="AL92" s="2343"/>
      <c r="AM92" s="2343"/>
      <c r="AN92" s="2343"/>
      <c r="AO92" s="2343"/>
      <c r="AP92" s="2343"/>
      <c r="AQ92" s="2343"/>
      <c r="AR92" s="2343"/>
      <c r="AS92" s="2343"/>
      <c r="AT92" s="2343"/>
      <c r="AU92" s="2343"/>
      <c r="AV92" s="2343"/>
      <c r="AW92" s="2343"/>
      <c r="AX92" s="2343"/>
      <c r="AY92" s="2343"/>
      <c r="AZ92" s="2343"/>
      <c r="BA92" s="2343"/>
      <c r="BB92" s="2344"/>
      <c r="BC92" s="1204"/>
      <c r="BD92" s="1204"/>
      <c r="BE92" s="1210"/>
    </row>
    <row r="93" spans="1:57" ht="15.75" customHeight="1" thickBot="1">
      <c r="A93" s="1204"/>
      <c r="B93" s="2283" t="s">
        <v>1901</v>
      </c>
      <c r="C93" s="2284"/>
      <c r="D93" s="2284"/>
      <c r="E93" s="2284"/>
      <c r="F93" s="2284"/>
      <c r="G93" s="2284"/>
      <c r="H93" s="2284"/>
      <c r="I93" s="2348">
        <v>2555</v>
      </c>
      <c r="J93" s="2348"/>
      <c r="K93" s="2348"/>
      <c r="L93" s="2348"/>
      <c r="M93" s="2348"/>
      <c r="N93" s="2348"/>
      <c r="O93" s="2348">
        <v>366</v>
      </c>
      <c r="P93" s="2348"/>
      <c r="Q93" s="2348"/>
      <c r="R93" s="2348"/>
      <c r="S93" s="2348"/>
      <c r="T93" s="2348"/>
      <c r="U93" s="2348"/>
      <c r="V93" s="2348">
        <v>6580</v>
      </c>
      <c r="W93" s="2348"/>
      <c r="X93" s="2348"/>
      <c r="Y93" s="2348"/>
      <c r="Z93" s="2348"/>
      <c r="AA93" s="2348"/>
      <c r="AB93" s="2348">
        <v>65</v>
      </c>
      <c r="AC93" s="2348"/>
      <c r="AD93" s="2348"/>
      <c r="AE93" s="2348"/>
      <c r="AF93" s="2348"/>
      <c r="AG93" s="2348"/>
      <c r="AH93" s="2349"/>
      <c r="AI93" s="1204"/>
      <c r="AJ93" s="2345"/>
      <c r="AK93" s="2346"/>
      <c r="AL93" s="2346"/>
      <c r="AM93" s="2346"/>
      <c r="AN93" s="2346"/>
      <c r="AO93" s="2346"/>
      <c r="AP93" s="2346"/>
      <c r="AQ93" s="2346"/>
      <c r="AR93" s="2346"/>
      <c r="AS93" s="2346"/>
      <c r="AT93" s="2346"/>
      <c r="AU93" s="2346"/>
      <c r="AV93" s="2346"/>
      <c r="AW93" s="2346"/>
      <c r="AX93" s="2346"/>
      <c r="AY93" s="2346"/>
      <c r="AZ93" s="2346"/>
      <c r="BA93" s="2346"/>
      <c r="BB93" s="2347"/>
      <c r="BC93" s="1204"/>
      <c r="BD93" s="1204"/>
      <c r="BE93" s="1210"/>
    </row>
    <row r="94" spans="1:57" ht="15.75" customHeight="1">
      <c r="A94" s="1204"/>
      <c r="B94" s="1204"/>
      <c r="C94" s="1204"/>
      <c r="D94" s="1204"/>
      <c r="E94" s="1204"/>
      <c r="F94" s="1204"/>
      <c r="G94" s="1204"/>
      <c r="H94" s="1204"/>
      <c r="I94" s="1204"/>
      <c r="J94" s="1204"/>
      <c r="K94" s="1204"/>
      <c r="L94" s="1204"/>
      <c r="M94" s="1204"/>
      <c r="N94" s="1204"/>
      <c r="O94" s="1204"/>
      <c r="P94" s="1204"/>
      <c r="Q94" s="1204"/>
      <c r="R94" s="1204"/>
      <c r="S94" s="1204"/>
      <c r="T94" s="1204"/>
      <c r="U94" s="1204" t="s">
        <v>252</v>
      </c>
      <c r="V94" s="1204"/>
      <c r="W94" s="1204"/>
      <c r="X94" s="1204"/>
      <c r="Y94" s="1204"/>
      <c r="Z94" s="1204"/>
      <c r="AA94" s="1204"/>
      <c r="AB94" s="1204"/>
      <c r="AC94" s="1204"/>
      <c r="AD94" s="1204"/>
      <c r="AE94" s="1204"/>
      <c r="AF94" s="1204"/>
      <c r="AG94" s="1204"/>
      <c r="AH94" s="1204"/>
      <c r="AI94" s="1204"/>
      <c r="AJ94" s="1204"/>
      <c r="AK94" s="1204"/>
      <c r="AL94" s="1204"/>
      <c r="AM94" s="1204"/>
      <c r="AN94" s="1204"/>
      <c r="AO94" s="1204"/>
      <c r="AP94" s="1204"/>
      <c r="AQ94" s="1204"/>
      <c r="AR94" s="1204"/>
      <c r="AS94" s="1204"/>
      <c r="AT94" s="1204"/>
      <c r="AU94" s="1204"/>
      <c r="AV94" s="1204"/>
      <c r="AW94" s="1204"/>
      <c r="AX94" s="1204"/>
      <c r="AY94" s="1204"/>
      <c r="AZ94" s="1204"/>
      <c r="BA94" s="1204"/>
      <c r="BB94" s="1204"/>
      <c r="BC94" s="1204"/>
      <c r="BD94" s="1204"/>
      <c r="BE94" s="1210"/>
    </row>
    <row r="95" spans="1:57" ht="15.75" customHeight="1" thickBot="1">
      <c r="A95" s="1204"/>
      <c r="B95" s="1214" t="s">
        <v>1904</v>
      </c>
      <c r="R95" s="1204"/>
      <c r="S95" s="1204"/>
      <c r="T95" s="1204"/>
      <c r="U95" s="1204"/>
      <c r="V95" s="1204"/>
      <c r="W95" s="1204"/>
      <c r="X95" s="1204"/>
      <c r="Y95" s="1204"/>
      <c r="Z95" s="1204"/>
      <c r="AA95" s="1204"/>
      <c r="AB95" s="1204"/>
      <c r="AC95" s="1204"/>
      <c r="AD95" s="1204"/>
      <c r="AE95" s="1204"/>
      <c r="AF95" s="1204"/>
      <c r="AG95" s="1204"/>
      <c r="AH95" s="1204"/>
      <c r="AI95" s="1204"/>
      <c r="AJ95" s="1204"/>
      <c r="AK95" s="1204"/>
      <c r="AL95" s="1204"/>
      <c r="AM95" s="1204"/>
      <c r="AN95" s="1204"/>
      <c r="AO95" s="1204"/>
      <c r="AP95" s="1204"/>
      <c r="AQ95" s="1204"/>
      <c r="AR95" s="1204"/>
      <c r="AS95" s="1204"/>
      <c r="AT95" s="1204"/>
      <c r="AU95" s="1204"/>
      <c r="AV95" s="1204"/>
      <c r="AW95" s="1204"/>
      <c r="AX95" s="1204"/>
      <c r="AY95" s="1204"/>
      <c r="AZ95" s="1204"/>
      <c r="BA95" s="1204"/>
      <c r="BB95" s="1204"/>
      <c r="BC95" s="1204"/>
      <c r="BD95" s="1204"/>
      <c r="BE95" s="1210"/>
    </row>
    <row r="96" spans="1:57" ht="15.75" customHeight="1" thickBot="1">
      <c r="A96" s="1204"/>
      <c r="B96" s="1204"/>
      <c r="C96" s="1204"/>
      <c r="D96" s="1204"/>
      <c r="E96" s="1204"/>
      <c r="F96" s="1204"/>
      <c r="G96" s="1204"/>
      <c r="H96" s="1204"/>
      <c r="I96" s="1204"/>
      <c r="J96" s="1204"/>
      <c r="K96" s="1204"/>
      <c r="L96" s="1204"/>
      <c r="M96" s="1204"/>
      <c r="N96" s="1204"/>
      <c r="O96" s="1204"/>
      <c r="P96" s="1220"/>
      <c r="Q96" s="1204"/>
      <c r="R96" s="1204"/>
      <c r="S96" s="1204"/>
      <c r="T96" s="1204"/>
      <c r="U96" s="1204"/>
      <c r="V96" s="1204"/>
      <c r="W96" s="1204"/>
      <c r="X96" s="2332" t="s">
        <v>2249</v>
      </c>
      <c r="Y96" s="2333"/>
      <c r="Z96" s="2333"/>
      <c r="AA96" s="2333"/>
      <c r="AB96" s="2333"/>
      <c r="AC96" s="2333"/>
      <c r="AD96" s="2333"/>
      <c r="AE96" s="2333"/>
      <c r="AF96" s="2333"/>
      <c r="AG96" s="2333"/>
      <c r="AH96" s="2333"/>
      <c r="AI96" s="2333"/>
      <c r="AJ96" s="2333"/>
      <c r="AK96" s="2333"/>
      <c r="AL96" s="2333"/>
      <c r="AM96" s="2333"/>
      <c r="AN96" s="2333"/>
      <c r="AO96" s="2333"/>
      <c r="AP96" s="2333"/>
      <c r="AQ96" s="2333"/>
      <c r="AR96" s="2333"/>
      <c r="AS96" s="2333"/>
      <c r="AT96" s="2333"/>
      <c r="AU96" s="2333"/>
      <c r="AV96" s="2333"/>
      <c r="AW96" s="2333"/>
      <c r="AX96" s="2333"/>
      <c r="AY96" s="2333"/>
      <c r="AZ96" s="2333"/>
      <c r="BA96" s="2333"/>
      <c r="BB96" s="2333"/>
      <c r="BC96" s="2333"/>
      <c r="BD96" s="2358"/>
      <c r="BE96" s="1210"/>
    </row>
    <row r="97" spans="1:57" ht="15.75" customHeight="1">
      <c r="A97" s="1204"/>
      <c r="B97" s="2360" t="s">
        <v>1755</v>
      </c>
      <c r="C97" s="2361"/>
      <c r="D97" s="2361"/>
      <c r="E97" s="2361"/>
      <c r="F97" s="2361"/>
      <c r="G97" s="2361"/>
      <c r="H97" s="2361"/>
      <c r="I97" s="2361"/>
      <c r="J97" s="2361"/>
      <c r="K97" s="2361"/>
      <c r="L97" s="2361"/>
      <c r="M97" s="2361"/>
      <c r="N97" s="2361"/>
      <c r="O97" s="2361"/>
      <c r="P97" s="2361"/>
      <c r="Q97" s="2361"/>
      <c r="R97" s="2361"/>
      <c r="S97" s="2361"/>
      <c r="T97" s="2361"/>
      <c r="U97" s="2362"/>
      <c r="V97" s="1204"/>
      <c r="W97" s="1204"/>
      <c r="X97" s="2334"/>
      <c r="Y97" s="2335"/>
      <c r="Z97" s="2335"/>
      <c r="AA97" s="2335"/>
      <c r="AB97" s="2335"/>
      <c r="AC97" s="2335"/>
      <c r="AD97" s="2335"/>
      <c r="AE97" s="2335"/>
      <c r="AF97" s="2335"/>
      <c r="AG97" s="2335"/>
      <c r="AH97" s="2335"/>
      <c r="AI97" s="2335"/>
      <c r="AJ97" s="2335"/>
      <c r="AK97" s="2335"/>
      <c r="AL97" s="2335"/>
      <c r="AM97" s="2335"/>
      <c r="AN97" s="2335"/>
      <c r="AO97" s="2335"/>
      <c r="AP97" s="2335"/>
      <c r="AQ97" s="2335"/>
      <c r="AR97" s="2335"/>
      <c r="AS97" s="2335"/>
      <c r="AT97" s="2335"/>
      <c r="AU97" s="2335"/>
      <c r="AV97" s="2335"/>
      <c r="AW97" s="2335"/>
      <c r="AX97" s="2335"/>
      <c r="AY97" s="2335"/>
      <c r="AZ97" s="2335"/>
      <c r="BA97" s="2335"/>
      <c r="BB97" s="2335"/>
      <c r="BC97" s="2335"/>
      <c r="BD97" s="2359"/>
      <c r="BE97" s="1210"/>
    </row>
    <row r="98" spans="1:57" ht="15.75" customHeight="1">
      <c r="A98" s="1204"/>
      <c r="B98" s="2354"/>
      <c r="C98" s="2355"/>
      <c r="D98" s="2355"/>
      <c r="E98" s="2355"/>
      <c r="F98" s="2355"/>
      <c r="G98" s="2355"/>
      <c r="H98" s="2355"/>
      <c r="I98" s="2266" t="s">
        <v>2250</v>
      </c>
      <c r="J98" s="2266"/>
      <c r="K98" s="2266"/>
      <c r="L98" s="2266"/>
      <c r="M98" s="2266"/>
      <c r="N98" s="2266"/>
      <c r="O98" s="2363" t="s">
        <v>2251</v>
      </c>
      <c r="P98" s="2363"/>
      <c r="Q98" s="2363"/>
      <c r="R98" s="2363"/>
      <c r="S98" s="2363"/>
      <c r="T98" s="2363"/>
      <c r="U98" s="2364"/>
      <c r="V98" s="1204"/>
      <c r="W98" s="1204"/>
      <c r="X98" s="2365" t="s">
        <v>2754</v>
      </c>
      <c r="Y98" s="2319"/>
      <c r="Z98" s="2319"/>
      <c r="AA98" s="2319"/>
      <c r="AB98" s="2319"/>
      <c r="AC98" s="2319"/>
      <c r="AD98" s="2319"/>
      <c r="AE98" s="2319"/>
      <c r="AF98" s="2319"/>
      <c r="AG98" s="2319"/>
      <c r="AH98" s="2319"/>
      <c r="AI98" s="2319"/>
      <c r="AJ98" s="2319"/>
      <c r="AK98" s="2319"/>
      <c r="AL98" s="2319"/>
      <c r="AM98" s="2319"/>
      <c r="AN98" s="2319"/>
      <c r="AO98" s="2319"/>
      <c r="AP98" s="2319"/>
      <c r="AQ98" s="2319"/>
      <c r="AR98" s="2319"/>
      <c r="AS98" s="2319"/>
      <c r="AT98" s="2319"/>
      <c r="AU98" s="2319"/>
      <c r="AV98" s="2319"/>
      <c r="AW98" s="2319"/>
      <c r="AX98" s="2319"/>
      <c r="AY98" s="2319"/>
      <c r="AZ98" s="2319"/>
      <c r="BA98" s="2319"/>
      <c r="BB98" s="2319"/>
      <c r="BC98" s="2319"/>
      <c r="BD98" s="2320"/>
      <c r="BE98" s="1210"/>
    </row>
    <row r="99" spans="1:57" ht="15.75" customHeight="1">
      <c r="A99" s="1204"/>
      <c r="B99" s="2366" t="s">
        <v>2252</v>
      </c>
      <c r="C99" s="2367"/>
      <c r="D99" s="2367"/>
      <c r="E99" s="2367"/>
      <c r="F99" s="2367"/>
      <c r="G99" s="2367"/>
      <c r="H99" s="2367"/>
      <c r="I99" s="2341">
        <v>110</v>
      </c>
      <c r="J99" s="2341"/>
      <c r="K99" s="2341"/>
      <c r="L99" s="2341"/>
      <c r="M99" s="2341"/>
      <c r="N99" s="2341"/>
      <c r="O99" s="2341">
        <v>5</v>
      </c>
      <c r="P99" s="2341"/>
      <c r="Q99" s="2341"/>
      <c r="R99" s="2341"/>
      <c r="S99" s="2341"/>
      <c r="T99" s="2341"/>
      <c r="U99" s="2350"/>
      <c r="V99" s="1204"/>
      <c r="W99" s="1204"/>
      <c r="X99" s="2318"/>
      <c r="Y99" s="2319"/>
      <c r="Z99" s="2319"/>
      <c r="AA99" s="2319"/>
      <c r="AB99" s="2319"/>
      <c r="AC99" s="2319"/>
      <c r="AD99" s="2319"/>
      <c r="AE99" s="2319"/>
      <c r="AF99" s="2319"/>
      <c r="AG99" s="2319"/>
      <c r="AH99" s="2319"/>
      <c r="AI99" s="2319"/>
      <c r="AJ99" s="2319"/>
      <c r="AK99" s="2319"/>
      <c r="AL99" s="2319"/>
      <c r="AM99" s="2319"/>
      <c r="AN99" s="2319"/>
      <c r="AO99" s="2319"/>
      <c r="AP99" s="2319"/>
      <c r="AQ99" s="2319"/>
      <c r="AR99" s="2319"/>
      <c r="AS99" s="2319"/>
      <c r="AT99" s="2319"/>
      <c r="AU99" s="2319"/>
      <c r="AV99" s="2319"/>
      <c r="AW99" s="2319"/>
      <c r="AX99" s="2319"/>
      <c r="AY99" s="2319"/>
      <c r="AZ99" s="2319"/>
      <c r="BA99" s="2319"/>
      <c r="BB99" s="2319"/>
      <c r="BC99" s="2319"/>
      <c r="BD99" s="2320"/>
      <c r="BE99" s="1210"/>
    </row>
    <row r="100" spans="1:57" ht="15.75" customHeight="1" thickBot="1">
      <c r="A100" s="1204"/>
      <c r="B100" s="2368" t="s">
        <v>2253</v>
      </c>
      <c r="C100" s="2369"/>
      <c r="D100" s="2369"/>
      <c r="E100" s="2369"/>
      <c r="F100" s="2369"/>
      <c r="G100" s="2369"/>
      <c r="H100" s="2369"/>
      <c r="I100" s="2348">
        <v>143</v>
      </c>
      <c r="J100" s="2348"/>
      <c r="K100" s="2348"/>
      <c r="L100" s="2348"/>
      <c r="M100" s="2348"/>
      <c r="N100" s="2348"/>
      <c r="O100" s="2352"/>
      <c r="P100" s="2352"/>
      <c r="Q100" s="2352"/>
      <c r="R100" s="2352"/>
      <c r="S100" s="2352"/>
      <c r="T100" s="2352"/>
      <c r="U100" s="2353"/>
      <c r="V100" s="1204"/>
      <c r="W100" s="1204"/>
      <c r="X100" s="2318"/>
      <c r="Y100" s="2319"/>
      <c r="Z100" s="2319"/>
      <c r="AA100" s="2319"/>
      <c r="AB100" s="2319"/>
      <c r="AC100" s="2319"/>
      <c r="AD100" s="2319"/>
      <c r="AE100" s="2319"/>
      <c r="AF100" s="2319"/>
      <c r="AG100" s="2319"/>
      <c r="AH100" s="2319"/>
      <c r="AI100" s="2319"/>
      <c r="AJ100" s="2319"/>
      <c r="AK100" s="2319"/>
      <c r="AL100" s="2319"/>
      <c r="AM100" s="2319"/>
      <c r="AN100" s="2319"/>
      <c r="AO100" s="2319"/>
      <c r="AP100" s="2319"/>
      <c r="AQ100" s="2319"/>
      <c r="AR100" s="2319"/>
      <c r="AS100" s="2319"/>
      <c r="AT100" s="2319"/>
      <c r="AU100" s="2319"/>
      <c r="AV100" s="2319"/>
      <c r="AW100" s="2319"/>
      <c r="AX100" s="2319"/>
      <c r="AY100" s="2319"/>
      <c r="AZ100" s="2319"/>
      <c r="BA100" s="2319"/>
      <c r="BB100" s="2319"/>
      <c r="BC100" s="2319"/>
      <c r="BD100" s="2320"/>
      <c r="BE100" s="1210"/>
    </row>
    <row r="101" spans="1:57" ht="15.75" customHeight="1">
      <c r="A101" s="1204"/>
      <c r="B101" s="1204"/>
      <c r="C101" s="1204"/>
      <c r="D101" s="1204"/>
      <c r="E101" s="1204"/>
      <c r="F101" s="1204"/>
      <c r="G101" s="1204"/>
      <c r="H101" s="1204"/>
      <c r="I101" s="1204"/>
      <c r="J101" s="1204"/>
      <c r="K101" s="1204"/>
      <c r="L101" s="1204"/>
      <c r="M101" s="1204"/>
      <c r="N101" s="1204"/>
      <c r="O101" s="1204"/>
      <c r="P101" s="1204"/>
      <c r="Q101" s="1204"/>
      <c r="R101" s="1204"/>
      <c r="S101" s="1204"/>
      <c r="T101" s="1204"/>
      <c r="U101" s="1204"/>
      <c r="V101" s="1204"/>
      <c r="W101" s="1204"/>
      <c r="X101" s="2318"/>
      <c r="Y101" s="2319"/>
      <c r="Z101" s="2319"/>
      <c r="AA101" s="2319"/>
      <c r="AB101" s="2319"/>
      <c r="AC101" s="2319"/>
      <c r="AD101" s="2319"/>
      <c r="AE101" s="2319"/>
      <c r="AF101" s="2319"/>
      <c r="AG101" s="2319"/>
      <c r="AH101" s="2319"/>
      <c r="AI101" s="2319"/>
      <c r="AJ101" s="2319"/>
      <c r="AK101" s="2319"/>
      <c r="AL101" s="2319"/>
      <c r="AM101" s="2319"/>
      <c r="AN101" s="2319"/>
      <c r="AO101" s="2319"/>
      <c r="AP101" s="2319"/>
      <c r="AQ101" s="2319"/>
      <c r="AR101" s="2319"/>
      <c r="AS101" s="2319"/>
      <c r="AT101" s="2319"/>
      <c r="AU101" s="2319"/>
      <c r="AV101" s="2319"/>
      <c r="AW101" s="2319"/>
      <c r="AX101" s="2319"/>
      <c r="AY101" s="2319"/>
      <c r="AZ101" s="2319"/>
      <c r="BA101" s="2319"/>
      <c r="BB101" s="2319"/>
      <c r="BC101" s="2319"/>
      <c r="BD101" s="2320"/>
      <c r="BE101" s="1210"/>
    </row>
    <row r="102" spans="1:57" ht="15.75" customHeight="1">
      <c r="A102" s="1204"/>
      <c r="B102" s="1218" t="s">
        <v>1905</v>
      </c>
      <c r="C102" s="1218"/>
      <c r="D102" s="1218"/>
      <c r="E102" s="1218"/>
      <c r="F102" s="1218"/>
      <c r="G102" s="1218"/>
      <c r="H102" s="1218"/>
      <c r="I102" s="1218"/>
      <c r="J102" s="1218"/>
      <c r="K102" s="1218"/>
      <c r="L102" s="1218"/>
      <c r="M102" s="1218"/>
      <c r="N102" s="1218"/>
      <c r="O102" s="1218"/>
      <c r="P102" s="1218"/>
      <c r="Q102" s="1211" t="s">
        <v>252</v>
      </c>
      <c r="R102" s="1211" t="s">
        <v>252</v>
      </c>
      <c r="S102" s="1204"/>
      <c r="T102" s="1204"/>
      <c r="U102" s="1204"/>
      <c r="V102" s="1204" t="s">
        <v>252</v>
      </c>
      <c r="W102" s="1204"/>
      <c r="X102" s="2318"/>
      <c r="Y102" s="2319"/>
      <c r="Z102" s="2319"/>
      <c r="AA102" s="2319"/>
      <c r="AB102" s="2319"/>
      <c r="AC102" s="2319"/>
      <c r="AD102" s="2319"/>
      <c r="AE102" s="2319"/>
      <c r="AF102" s="2319"/>
      <c r="AG102" s="2319"/>
      <c r="AH102" s="2319"/>
      <c r="AI102" s="2319"/>
      <c r="AJ102" s="2319"/>
      <c r="AK102" s="2319"/>
      <c r="AL102" s="2319"/>
      <c r="AM102" s="2319"/>
      <c r="AN102" s="2319"/>
      <c r="AO102" s="2319"/>
      <c r="AP102" s="2319"/>
      <c r="AQ102" s="2319"/>
      <c r="AR102" s="2319"/>
      <c r="AS102" s="2319"/>
      <c r="AT102" s="2319"/>
      <c r="AU102" s="2319"/>
      <c r="AV102" s="2319"/>
      <c r="AW102" s="2319"/>
      <c r="AX102" s="2319"/>
      <c r="AY102" s="2319"/>
      <c r="AZ102" s="2319"/>
      <c r="BA102" s="2319"/>
      <c r="BB102" s="2319"/>
      <c r="BC102" s="2319"/>
      <c r="BD102" s="2320"/>
      <c r="BE102" s="1210"/>
    </row>
    <row r="103" spans="1:57" ht="15.75" customHeight="1" thickBot="1">
      <c r="A103" s="1204"/>
      <c r="B103" s="1204"/>
      <c r="C103" s="1204"/>
      <c r="D103" s="1204"/>
      <c r="E103" s="1204"/>
      <c r="F103" s="1204"/>
      <c r="G103" s="1204"/>
      <c r="H103" s="1204"/>
      <c r="I103" s="1204"/>
      <c r="J103" s="1204"/>
      <c r="K103" s="1204"/>
      <c r="L103" s="1204"/>
      <c r="M103" s="1204"/>
      <c r="N103" s="1204"/>
      <c r="O103" s="1204"/>
      <c r="P103" s="1204"/>
      <c r="Q103" s="1204"/>
      <c r="R103" s="1204"/>
      <c r="S103" s="1204"/>
      <c r="T103" s="1204"/>
      <c r="U103" s="1204"/>
      <c r="V103" s="1204"/>
      <c r="W103" s="1204"/>
      <c r="X103" s="2318"/>
      <c r="Y103" s="2319"/>
      <c r="Z103" s="2319"/>
      <c r="AA103" s="2319"/>
      <c r="AB103" s="2319"/>
      <c r="AC103" s="2319"/>
      <c r="AD103" s="2319"/>
      <c r="AE103" s="2319"/>
      <c r="AF103" s="2319"/>
      <c r="AG103" s="2319"/>
      <c r="AH103" s="2319"/>
      <c r="AI103" s="2319"/>
      <c r="AJ103" s="2319"/>
      <c r="AK103" s="2319"/>
      <c r="AL103" s="2319"/>
      <c r="AM103" s="2319"/>
      <c r="AN103" s="2319"/>
      <c r="AO103" s="2319"/>
      <c r="AP103" s="2319"/>
      <c r="AQ103" s="2319"/>
      <c r="AR103" s="2319"/>
      <c r="AS103" s="2319"/>
      <c r="AT103" s="2319"/>
      <c r="AU103" s="2319"/>
      <c r="AV103" s="2319"/>
      <c r="AW103" s="2319"/>
      <c r="AX103" s="2319"/>
      <c r="AY103" s="2319"/>
      <c r="AZ103" s="2319"/>
      <c r="BA103" s="2319"/>
      <c r="BB103" s="2319"/>
      <c r="BC103" s="2319"/>
      <c r="BD103" s="2320"/>
      <c r="BE103" s="1210"/>
    </row>
    <row r="104" spans="1:57" ht="15.75" customHeight="1">
      <c r="A104" s="1204"/>
      <c r="B104" s="2199" t="s">
        <v>1906</v>
      </c>
      <c r="C104" s="2200"/>
      <c r="D104" s="2200"/>
      <c r="E104" s="2200"/>
      <c r="F104" s="2200"/>
      <c r="G104" s="2200"/>
      <c r="H104" s="2200"/>
      <c r="I104" s="2200"/>
      <c r="J104" s="2200"/>
      <c r="K104" s="2200"/>
      <c r="L104" s="2200"/>
      <c r="M104" s="2200"/>
      <c r="N104" s="2200"/>
      <c r="O104" s="2200"/>
      <c r="P104" s="2200"/>
      <c r="Q104" s="2200"/>
      <c r="R104" s="2200"/>
      <c r="S104" s="2200"/>
      <c r="T104" s="2200"/>
      <c r="U104" s="2201"/>
      <c r="V104" s="1204"/>
      <c r="W104" s="1204"/>
      <c r="X104" s="2318"/>
      <c r="Y104" s="2319"/>
      <c r="Z104" s="2319"/>
      <c r="AA104" s="2319"/>
      <c r="AB104" s="2319"/>
      <c r="AC104" s="2319"/>
      <c r="AD104" s="2319"/>
      <c r="AE104" s="2319"/>
      <c r="AF104" s="2319"/>
      <c r="AG104" s="2319"/>
      <c r="AH104" s="2319"/>
      <c r="AI104" s="2319"/>
      <c r="AJ104" s="2319"/>
      <c r="AK104" s="2319"/>
      <c r="AL104" s="2319"/>
      <c r="AM104" s="2319"/>
      <c r="AN104" s="2319"/>
      <c r="AO104" s="2319"/>
      <c r="AP104" s="2319"/>
      <c r="AQ104" s="2319"/>
      <c r="AR104" s="2319"/>
      <c r="AS104" s="2319"/>
      <c r="AT104" s="2319"/>
      <c r="AU104" s="2319"/>
      <c r="AV104" s="2319"/>
      <c r="AW104" s="2319"/>
      <c r="AX104" s="2319"/>
      <c r="AY104" s="2319"/>
      <c r="AZ104" s="2319"/>
      <c r="BA104" s="2319"/>
      <c r="BB104" s="2319"/>
      <c r="BC104" s="2319"/>
      <c r="BD104" s="2320"/>
      <c r="BE104" s="1210"/>
    </row>
    <row r="105" spans="1:57" ht="15.75" customHeight="1">
      <c r="A105" s="1204"/>
      <c r="B105" s="2354"/>
      <c r="C105" s="2355"/>
      <c r="D105" s="2355"/>
      <c r="E105" s="2355"/>
      <c r="F105" s="2355"/>
      <c r="G105" s="2355"/>
      <c r="H105" s="2355"/>
      <c r="I105" s="2356" t="s">
        <v>1899</v>
      </c>
      <c r="J105" s="2356"/>
      <c r="K105" s="2356"/>
      <c r="L105" s="2356"/>
      <c r="M105" s="2356"/>
      <c r="N105" s="2356"/>
      <c r="O105" s="2356"/>
      <c r="P105" s="2356" t="s">
        <v>2261</v>
      </c>
      <c r="Q105" s="2356"/>
      <c r="R105" s="2356"/>
      <c r="S105" s="2356"/>
      <c r="T105" s="2356"/>
      <c r="U105" s="2357"/>
      <c r="V105" s="1204"/>
      <c r="W105" s="1204"/>
      <c r="X105" s="2318"/>
      <c r="Y105" s="2319"/>
      <c r="Z105" s="2319"/>
      <c r="AA105" s="2319"/>
      <c r="AB105" s="2319"/>
      <c r="AC105" s="2319"/>
      <c r="AD105" s="2319"/>
      <c r="AE105" s="2319"/>
      <c r="AF105" s="2319"/>
      <c r="AG105" s="2319"/>
      <c r="AH105" s="2319"/>
      <c r="AI105" s="2319"/>
      <c r="AJ105" s="2319"/>
      <c r="AK105" s="2319"/>
      <c r="AL105" s="2319"/>
      <c r="AM105" s="2319"/>
      <c r="AN105" s="2319"/>
      <c r="AO105" s="2319"/>
      <c r="AP105" s="2319"/>
      <c r="AQ105" s="2319"/>
      <c r="AR105" s="2319"/>
      <c r="AS105" s="2319"/>
      <c r="AT105" s="2319"/>
      <c r="AU105" s="2319"/>
      <c r="AV105" s="2319"/>
      <c r="AW105" s="2319"/>
      <c r="AX105" s="2319"/>
      <c r="AY105" s="2319"/>
      <c r="AZ105" s="2319"/>
      <c r="BA105" s="2319"/>
      <c r="BB105" s="2319"/>
      <c r="BC105" s="2319"/>
      <c r="BD105" s="2320"/>
      <c r="BE105" s="1210"/>
    </row>
    <row r="106" spans="1:57" ht="15.75" customHeight="1">
      <c r="A106" s="1204"/>
      <c r="B106" s="2354"/>
      <c r="C106" s="2355"/>
      <c r="D106" s="2355"/>
      <c r="E106" s="2355"/>
      <c r="F106" s="2355"/>
      <c r="G106" s="2355"/>
      <c r="H106" s="2355"/>
      <c r="I106" s="2356"/>
      <c r="J106" s="2356"/>
      <c r="K106" s="2356"/>
      <c r="L106" s="2356"/>
      <c r="M106" s="2356"/>
      <c r="N106" s="2356"/>
      <c r="O106" s="2356"/>
      <c r="P106" s="2356"/>
      <c r="Q106" s="2356"/>
      <c r="R106" s="2356"/>
      <c r="S106" s="2356"/>
      <c r="T106" s="2356"/>
      <c r="U106" s="2357"/>
      <c r="V106" s="1204"/>
      <c r="W106" s="1204"/>
      <c r="X106" s="2318"/>
      <c r="Y106" s="2319"/>
      <c r="Z106" s="2319"/>
      <c r="AA106" s="2319"/>
      <c r="AB106" s="2319"/>
      <c r="AC106" s="2319"/>
      <c r="AD106" s="2319"/>
      <c r="AE106" s="2319"/>
      <c r="AF106" s="2319"/>
      <c r="AG106" s="2319"/>
      <c r="AH106" s="2319"/>
      <c r="AI106" s="2319"/>
      <c r="AJ106" s="2319"/>
      <c r="AK106" s="2319"/>
      <c r="AL106" s="2319"/>
      <c r="AM106" s="2319"/>
      <c r="AN106" s="2319"/>
      <c r="AO106" s="2319"/>
      <c r="AP106" s="2319"/>
      <c r="AQ106" s="2319"/>
      <c r="AR106" s="2319"/>
      <c r="AS106" s="2319"/>
      <c r="AT106" s="2319"/>
      <c r="AU106" s="2319"/>
      <c r="AV106" s="2319"/>
      <c r="AW106" s="2319"/>
      <c r="AX106" s="2319"/>
      <c r="AY106" s="2319"/>
      <c r="AZ106" s="2319"/>
      <c r="BA106" s="2319"/>
      <c r="BB106" s="2319"/>
      <c r="BC106" s="2319"/>
      <c r="BD106" s="2320"/>
      <c r="BE106" s="1210"/>
    </row>
    <row r="107" spans="1:57" ht="15.75" customHeight="1">
      <c r="A107" s="1204"/>
      <c r="B107" s="2366" t="s">
        <v>2252</v>
      </c>
      <c r="C107" s="2367"/>
      <c r="D107" s="2367"/>
      <c r="E107" s="2367"/>
      <c r="F107" s="2367"/>
      <c r="G107" s="2367"/>
      <c r="H107" s="2367"/>
      <c r="I107" s="2341">
        <v>2</v>
      </c>
      <c r="J107" s="2341"/>
      <c r="K107" s="2341"/>
      <c r="L107" s="2341"/>
      <c r="M107" s="2341"/>
      <c r="N107" s="2341"/>
      <c r="O107" s="2341"/>
      <c r="P107" s="2341">
        <v>1</v>
      </c>
      <c r="Q107" s="2341"/>
      <c r="R107" s="2341"/>
      <c r="S107" s="2341"/>
      <c r="T107" s="2341"/>
      <c r="U107" s="2350"/>
      <c r="V107" s="1204"/>
      <c r="W107" s="1204"/>
      <c r="X107" s="2318"/>
      <c r="Y107" s="2319"/>
      <c r="Z107" s="2319"/>
      <c r="AA107" s="2319"/>
      <c r="AB107" s="2319"/>
      <c r="AC107" s="2319"/>
      <c r="AD107" s="2319"/>
      <c r="AE107" s="2319"/>
      <c r="AF107" s="2319"/>
      <c r="AG107" s="2319"/>
      <c r="AH107" s="2319"/>
      <c r="AI107" s="2319"/>
      <c r="AJ107" s="2319"/>
      <c r="AK107" s="2319"/>
      <c r="AL107" s="2319"/>
      <c r="AM107" s="2319"/>
      <c r="AN107" s="2319"/>
      <c r="AO107" s="2319"/>
      <c r="AP107" s="2319"/>
      <c r="AQ107" s="2319"/>
      <c r="AR107" s="2319"/>
      <c r="AS107" s="2319"/>
      <c r="AT107" s="2319"/>
      <c r="AU107" s="2319"/>
      <c r="AV107" s="2319"/>
      <c r="AW107" s="2319"/>
      <c r="AX107" s="2319"/>
      <c r="AY107" s="2319"/>
      <c r="AZ107" s="2319"/>
      <c r="BA107" s="2319"/>
      <c r="BB107" s="2319"/>
      <c r="BC107" s="2319"/>
      <c r="BD107" s="2320"/>
      <c r="BE107" s="1210"/>
    </row>
    <row r="108" spans="1:57" ht="15.75" customHeight="1" thickBot="1">
      <c r="A108" s="1204"/>
      <c r="B108" s="2368" t="s">
        <v>2253</v>
      </c>
      <c r="C108" s="2369"/>
      <c r="D108" s="2369"/>
      <c r="E108" s="2369"/>
      <c r="F108" s="2369"/>
      <c r="G108" s="2369"/>
      <c r="H108" s="2369"/>
      <c r="I108" s="2348">
        <v>2</v>
      </c>
      <c r="J108" s="2348"/>
      <c r="K108" s="2348"/>
      <c r="L108" s="2348"/>
      <c r="M108" s="2348"/>
      <c r="N108" s="2348"/>
      <c r="O108" s="2348"/>
      <c r="P108" s="2348">
        <v>2</v>
      </c>
      <c r="Q108" s="2348"/>
      <c r="R108" s="2348"/>
      <c r="S108" s="2348"/>
      <c r="T108" s="2348"/>
      <c r="U108" s="2349"/>
      <c r="V108" s="1204"/>
      <c r="W108" s="1204"/>
      <c r="X108" s="2321"/>
      <c r="Y108" s="2322"/>
      <c r="Z108" s="2322"/>
      <c r="AA108" s="2322"/>
      <c r="AB108" s="2322"/>
      <c r="AC108" s="2322"/>
      <c r="AD108" s="2322"/>
      <c r="AE108" s="2322"/>
      <c r="AF108" s="2322"/>
      <c r="AG108" s="2322"/>
      <c r="AH108" s="2322"/>
      <c r="AI108" s="2322"/>
      <c r="AJ108" s="2322"/>
      <c r="AK108" s="2322"/>
      <c r="AL108" s="2322"/>
      <c r="AM108" s="2322"/>
      <c r="AN108" s="2322"/>
      <c r="AO108" s="2322"/>
      <c r="AP108" s="2322"/>
      <c r="AQ108" s="2322"/>
      <c r="AR108" s="2322"/>
      <c r="AS108" s="2322"/>
      <c r="AT108" s="2322"/>
      <c r="AU108" s="2322"/>
      <c r="AV108" s="2322"/>
      <c r="AW108" s="2322"/>
      <c r="AX108" s="2322"/>
      <c r="AY108" s="2322"/>
      <c r="AZ108" s="2322"/>
      <c r="BA108" s="2322"/>
      <c r="BB108" s="2322"/>
      <c r="BC108" s="2322"/>
      <c r="BD108" s="2323"/>
      <c r="BE108" s="1210"/>
    </row>
    <row r="109" spans="1:57" ht="15.75" customHeight="1" thickBot="1">
      <c r="A109" s="1204"/>
      <c r="B109" s="1204"/>
      <c r="C109" s="1204"/>
      <c r="D109" s="1204"/>
      <c r="E109" s="1204"/>
      <c r="F109" s="1204"/>
      <c r="G109" s="1204"/>
      <c r="H109" s="1204"/>
      <c r="I109" s="1204"/>
      <c r="J109" s="1204"/>
      <c r="K109" s="1204"/>
      <c r="L109" s="1204"/>
      <c r="M109" s="1204"/>
      <c r="N109" s="1204"/>
      <c r="O109" s="1204"/>
      <c r="P109" s="1204"/>
      <c r="Q109" s="1221"/>
      <c r="R109" s="1204"/>
      <c r="S109" s="1204"/>
      <c r="T109" s="1204"/>
      <c r="U109" s="1204"/>
      <c r="V109" s="1204"/>
      <c r="W109" s="1204"/>
      <c r="X109" s="1204"/>
      <c r="Y109" s="1204"/>
      <c r="Z109" s="1204"/>
      <c r="AA109" s="1204"/>
      <c r="AB109" s="1204"/>
      <c r="AC109" s="1204"/>
      <c r="AD109" s="1204"/>
      <c r="AE109" s="1204"/>
      <c r="AF109" s="1204"/>
      <c r="AG109" s="1204"/>
      <c r="AH109" s="1204"/>
      <c r="AI109" s="1204"/>
      <c r="AJ109" s="1204"/>
      <c r="AK109" s="1204"/>
      <c r="AL109" s="1204"/>
      <c r="AM109" s="1204"/>
      <c r="AN109" s="1204"/>
      <c r="AO109" s="1204"/>
      <c r="AP109" s="1204"/>
      <c r="AQ109" s="1204"/>
      <c r="AR109" s="1204"/>
      <c r="AS109" s="1204"/>
      <c r="AT109" s="1204"/>
      <c r="AU109" s="1204"/>
      <c r="AV109" s="1204"/>
      <c r="AW109" s="1204"/>
      <c r="AX109" s="1204"/>
      <c r="AY109" s="1204"/>
      <c r="AZ109" s="1204"/>
      <c r="BA109" s="1204"/>
      <c r="BB109" s="1204"/>
      <c r="BC109" s="1204"/>
      <c r="BD109" s="1204"/>
      <c r="BE109" s="1210"/>
    </row>
    <row r="110" spans="1:57" ht="15.75" customHeight="1">
      <c r="A110" s="1204"/>
      <c r="B110" s="2370" t="s">
        <v>1907</v>
      </c>
      <c r="C110" s="2371"/>
      <c r="D110" s="2371"/>
      <c r="E110" s="2371"/>
      <c r="F110" s="2371"/>
      <c r="G110" s="2371"/>
      <c r="H110" s="2371"/>
      <c r="I110" s="2371"/>
      <c r="J110" s="2371"/>
      <c r="K110" s="2371"/>
      <c r="L110" s="2371"/>
      <c r="M110" s="2371"/>
      <c r="N110" s="2371"/>
      <c r="O110" s="2371"/>
      <c r="P110" s="2371"/>
      <c r="Q110" s="2371"/>
      <c r="R110" s="2371"/>
      <c r="S110" s="2371"/>
      <c r="T110" s="2371"/>
      <c r="U110" s="2371"/>
      <c r="V110" s="2371"/>
      <c r="W110" s="2371"/>
      <c r="X110" s="2371"/>
      <c r="Y110" s="2371"/>
      <c r="Z110" s="2371"/>
      <c r="AA110" s="2371"/>
      <c r="AB110" s="2371"/>
      <c r="AC110" s="2371"/>
      <c r="AD110" s="2371"/>
      <c r="AE110" s="2371"/>
      <c r="AF110" s="2371"/>
      <c r="AG110" s="2371"/>
      <c r="AH110" s="2290" t="s">
        <v>555</v>
      </c>
      <c r="AI110" s="2290"/>
      <c r="AJ110" s="2290"/>
      <c r="AK110" s="2290"/>
      <c r="AL110" s="2290"/>
      <c r="AM110" s="2290"/>
      <c r="AN110" s="2290"/>
      <c r="AO110" s="2290"/>
      <c r="AP110" s="2290"/>
      <c r="AQ110" s="2290"/>
      <c r="AR110" s="2290"/>
      <c r="AS110" s="2290"/>
      <c r="AT110" s="2290"/>
      <c r="AU110" s="2290"/>
      <c r="AV110" s="2290"/>
      <c r="AW110" s="2290"/>
      <c r="AX110" s="2291"/>
      <c r="AY110" s="1204"/>
      <c r="AZ110" s="1204"/>
      <c r="BA110" s="1204"/>
      <c r="BB110" s="1204"/>
      <c r="BC110" s="1204"/>
      <c r="BD110" s="1204"/>
      <c r="BE110" s="1210"/>
    </row>
    <row r="111" spans="1:57" ht="15.75" customHeight="1">
      <c r="A111" s="1204"/>
      <c r="B111" s="2372" t="s">
        <v>1908</v>
      </c>
      <c r="C111" s="2373"/>
      <c r="D111" s="2373"/>
      <c r="E111" s="2373"/>
      <c r="F111" s="2373"/>
      <c r="G111" s="2373"/>
      <c r="H111" s="2373"/>
      <c r="I111" s="2373"/>
      <c r="J111" s="2373"/>
      <c r="K111" s="2373"/>
      <c r="L111" s="2373"/>
      <c r="M111" s="2373"/>
      <c r="N111" s="2373"/>
      <c r="O111" s="2373"/>
      <c r="P111" s="2373"/>
      <c r="Q111" s="2373"/>
      <c r="R111" s="2374" t="s">
        <v>2755</v>
      </c>
      <c r="S111" s="2374"/>
      <c r="T111" s="2374"/>
      <c r="U111" s="2374"/>
      <c r="V111" s="2374"/>
      <c r="W111" s="2374"/>
      <c r="X111" s="2374"/>
      <c r="Y111" s="2374"/>
      <c r="Z111" s="2374"/>
      <c r="AA111" s="2374"/>
      <c r="AB111" s="2374"/>
      <c r="AC111" s="2374"/>
      <c r="AD111" s="2374"/>
      <c r="AE111" s="2374"/>
      <c r="AF111" s="2374"/>
      <c r="AG111" s="2374"/>
      <c r="AH111" s="2374"/>
      <c r="AI111" s="2374"/>
      <c r="AJ111" s="2374"/>
      <c r="AK111" s="2374"/>
      <c r="AL111" s="2374"/>
      <c r="AM111" s="2374"/>
      <c r="AN111" s="2374"/>
      <c r="AO111" s="2374"/>
      <c r="AP111" s="2374"/>
      <c r="AQ111" s="2374"/>
      <c r="AR111" s="2374"/>
      <c r="AS111" s="2374"/>
      <c r="AT111" s="2374"/>
      <c r="AU111" s="2374"/>
      <c r="AV111" s="2374"/>
      <c r="AW111" s="2374"/>
      <c r="AX111" s="2375"/>
      <c r="AY111" s="1204"/>
      <c r="AZ111" s="1204"/>
      <c r="BA111" s="1204"/>
      <c r="BB111" s="1204"/>
      <c r="BC111" s="1204" t="s">
        <v>252</v>
      </c>
      <c r="BD111" s="1204"/>
      <c r="BE111" s="1210"/>
    </row>
    <row r="112" spans="1:57" ht="15.75" customHeight="1">
      <c r="A112" s="1204"/>
      <c r="B112" s="2376" t="s">
        <v>2756</v>
      </c>
      <c r="C112" s="2377"/>
      <c r="D112" s="2377"/>
      <c r="E112" s="2377"/>
      <c r="F112" s="2377"/>
      <c r="G112" s="2377"/>
      <c r="H112" s="2377"/>
      <c r="I112" s="2377"/>
      <c r="J112" s="2377"/>
      <c r="K112" s="2377"/>
      <c r="L112" s="2377"/>
      <c r="M112" s="2377"/>
      <c r="N112" s="2377"/>
      <c r="O112" s="2377"/>
      <c r="P112" s="2377"/>
      <c r="Q112" s="2377"/>
      <c r="R112" s="2377"/>
      <c r="S112" s="2377"/>
      <c r="T112" s="2377"/>
      <c r="U112" s="2377"/>
      <c r="V112" s="2377"/>
      <c r="W112" s="2377"/>
      <c r="X112" s="2377"/>
      <c r="Y112" s="2377"/>
      <c r="Z112" s="2377"/>
      <c r="AA112" s="2377"/>
      <c r="AB112" s="2377"/>
      <c r="AC112" s="2377"/>
      <c r="AD112" s="2377"/>
      <c r="AE112" s="2377"/>
      <c r="AF112" s="2377"/>
      <c r="AG112" s="2377"/>
      <c r="AH112" s="2377"/>
      <c r="AI112" s="2377"/>
      <c r="AJ112" s="2377"/>
      <c r="AK112" s="2377"/>
      <c r="AL112" s="2377"/>
      <c r="AM112" s="2377"/>
      <c r="AN112" s="2377"/>
      <c r="AO112" s="2377"/>
      <c r="AP112" s="2377"/>
      <c r="AQ112" s="2377"/>
      <c r="AR112" s="2377"/>
      <c r="AS112" s="2377"/>
      <c r="AT112" s="2377"/>
      <c r="AU112" s="2377"/>
      <c r="AV112" s="2377"/>
      <c r="AW112" s="2377"/>
      <c r="AX112" s="2378"/>
      <c r="AY112" s="1204"/>
      <c r="AZ112" s="1204"/>
      <c r="BA112" s="1204"/>
      <c r="BB112" s="1204"/>
      <c r="BC112" s="1204"/>
      <c r="BD112" s="1204"/>
      <c r="BE112" s="1210"/>
    </row>
    <row r="113" spans="1:57" ht="15.75" customHeight="1">
      <c r="A113" s="1204"/>
      <c r="B113" s="2379"/>
      <c r="C113" s="2377"/>
      <c r="D113" s="2377"/>
      <c r="E113" s="2377"/>
      <c r="F113" s="2377"/>
      <c r="G113" s="2377"/>
      <c r="H113" s="2377"/>
      <c r="I113" s="2377"/>
      <c r="J113" s="2377"/>
      <c r="K113" s="2377"/>
      <c r="L113" s="2377"/>
      <c r="M113" s="2377"/>
      <c r="N113" s="2377"/>
      <c r="O113" s="2377"/>
      <c r="P113" s="2377"/>
      <c r="Q113" s="2377"/>
      <c r="R113" s="2377"/>
      <c r="S113" s="2377"/>
      <c r="T113" s="2377"/>
      <c r="U113" s="2377"/>
      <c r="V113" s="2377"/>
      <c r="W113" s="2377"/>
      <c r="X113" s="2377"/>
      <c r="Y113" s="2377"/>
      <c r="Z113" s="2377"/>
      <c r="AA113" s="2377"/>
      <c r="AB113" s="2377"/>
      <c r="AC113" s="2377"/>
      <c r="AD113" s="2377"/>
      <c r="AE113" s="2377"/>
      <c r="AF113" s="2377"/>
      <c r="AG113" s="2377"/>
      <c r="AH113" s="2377"/>
      <c r="AI113" s="2377"/>
      <c r="AJ113" s="2377"/>
      <c r="AK113" s="2377"/>
      <c r="AL113" s="2377"/>
      <c r="AM113" s="2377"/>
      <c r="AN113" s="2377"/>
      <c r="AO113" s="2377"/>
      <c r="AP113" s="2377"/>
      <c r="AQ113" s="2377"/>
      <c r="AR113" s="2377"/>
      <c r="AS113" s="2377"/>
      <c r="AT113" s="2377"/>
      <c r="AU113" s="2377"/>
      <c r="AV113" s="2377"/>
      <c r="AW113" s="2377"/>
      <c r="AX113" s="2378"/>
      <c r="AY113" s="1204"/>
      <c r="AZ113" s="1204"/>
      <c r="BA113" s="1204"/>
      <c r="BB113" s="1204"/>
      <c r="BC113" s="1204"/>
      <c r="BD113" s="1204"/>
      <c r="BE113" s="1210"/>
    </row>
    <row r="114" spans="1:57" ht="15.75" customHeight="1">
      <c r="A114" s="1204"/>
      <c r="B114" s="2379"/>
      <c r="C114" s="2377"/>
      <c r="D114" s="2377"/>
      <c r="E114" s="2377"/>
      <c r="F114" s="2377"/>
      <c r="G114" s="2377"/>
      <c r="H114" s="2377"/>
      <c r="I114" s="2377"/>
      <c r="J114" s="2377"/>
      <c r="K114" s="2377"/>
      <c r="L114" s="2377"/>
      <c r="M114" s="2377"/>
      <c r="N114" s="2377"/>
      <c r="O114" s="2377"/>
      <c r="P114" s="2377"/>
      <c r="Q114" s="2377"/>
      <c r="R114" s="2377"/>
      <c r="S114" s="2377"/>
      <c r="T114" s="2377"/>
      <c r="U114" s="2377"/>
      <c r="V114" s="2377"/>
      <c r="W114" s="2377"/>
      <c r="X114" s="2377"/>
      <c r="Y114" s="2377"/>
      <c r="Z114" s="2377"/>
      <c r="AA114" s="2377"/>
      <c r="AB114" s="2377"/>
      <c r="AC114" s="2377"/>
      <c r="AD114" s="2377"/>
      <c r="AE114" s="2377"/>
      <c r="AF114" s="2377"/>
      <c r="AG114" s="2377"/>
      <c r="AH114" s="2377"/>
      <c r="AI114" s="2377"/>
      <c r="AJ114" s="2377"/>
      <c r="AK114" s="2377"/>
      <c r="AL114" s="2377"/>
      <c r="AM114" s="2377"/>
      <c r="AN114" s="2377"/>
      <c r="AO114" s="2377"/>
      <c r="AP114" s="2377"/>
      <c r="AQ114" s="2377"/>
      <c r="AR114" s="2377"/>
      <c r="AS114" s="2377"/>
      <c r="AT114" s="2377"/>
      <c r="AU114" s="2377"/>
      <c r="AV114" s="2377"/>
      <c r="AW114" s="2377"/>
      <c r="AX114" s="2378"/>
      <c r="AY114" s="1204"/>
      <c r="AZ114" s="1204"/>
      <c r="BA114" s="1204"/>
      <c r="BB114" s="1204"/>
      <c r="BC114" s="1204"/>
      <c r="BD114" s="1204"/>
      <c r="BE114" s="1210"/>
    </row>
    <row r="115" spans="1:57" ht="15.75" customHeight="1">
      <c r="A115" s="1204"/>
      <c r="B115" s="2379"/>
      <c r="C115" s="2377"/>
      <c r="D115" s="2377"/>
      <c r="E115" s="2377"/>
      <c r="F115" s="2377"/>
      <c r="G115" s="2377"/>
      <c r="H115" s="2377"/>
      <c r="I115" s="2377"/>
      <c r="J115" s="2377"/>
      <c r="K115" s="2377"/>
      <c r="L115" s="2377"/>
      <c r="M115" s="2377"/>
      <c r="N115" s="2377"/>
      <c r="O115" s="2377"/>
      <c r="P115" s="2377"/>
      <c r="Q115" s="2377"/>
      <c r="R115" s="2377"/>
      <c r="S115" s="2377"/>
      <c r="T115" s="2377"/>
      <c r="U115" s="2377"/>
      <c r="V115" s="2377"/>
      <c r="W115" s="2377"/>
      <c r="X115" s="2377"/>
      <c r="Y115" s="2377"/>
      <c r="Z115" s="2377"/>
      <c r="AA115" s="2377"/>
      <c r="AB115" s="2377"/>
      <c r="AC115" s="2377"/>
      <c r="AD115" s="2377"/>
      <c r="AE115" s="2377"/>
      <c r="AF115" s="2377"/>
      <c r="AG115" s="2377"/>
      <c r="AH115" s="2377"/>
      <c r="AI115" s="2377"/>
      <c r="AJ115" s="2377"/>
      <c r="AK115" s="2377"/>
      <c r="AL115" s="2377"/>
      <c r="AM115" s="2377"/>
      <c r="AN115" s="2377"/>
      <c r="AO115" s="2377"/>
      <c r="AP115" s="2377"/>
      <c r="AQ115" s="2377"/>
      <c r="AR115" s="2377"/>
      <c r="AS115" s="2377"/>
      <c r="AT115" s="2377"/>
      <c r="AU115" s="2377"/>
      <c r="AV115" s="2377"/>
      <c r="AW115" s="2377"/>
      <c r="AX115" s="2378"/>
      <c r="AY115" s="1204"/>
      <c r="AZ115" s="1204"/>
      <c r="BA115" s="1204"/>
      <c r="BB115" s="1204"/>
      <c r="BC115" s="1204"/>
      <c r="BD115" s="1204"/>
      <c r="BE115" s="1210"/>
    </row>
    <row r="116" spans="1:57" ht="15.75" customHeight="1">
      <c r="A116" s="1204"/>
      <c r="B116" s="2379"/>
      <c r="C116" s="2377"/>
      <c r="D116" s="2377"/>
      <c r="E116" s="2377"/>
      <c r="F116" s="2377"/>
      <c r="G116" s="2377"/>
      <c r="H116" s="2377"/>
      <c r="I116" s="2377"/>
      <c r="J116" s="2377"/>
      <c r="K116" s="2377"/>
      <c r="L116" s="2377"/>
      <c r="M116" s="2377"/>
      <c r="N116" s="2377"/>
      <c r="O116" s="2377"/>
      <c r="P116" s="2377"/>
      <c r="Q116" s="2377"/>
      <c r="R116" s="2377"/>
      <c r="S116" s="2377"/>
      <c r="T116" s="2377"/>
      <c r="U116" s="2377"/>
      <c r="V116" s="2377"/>
      <c r="W116" s="2377"/>
      <c r="X116" s="2377"/>
      <c r="Y116" s="2377"/>
      <c r="Z116" s="2377"/>
      <c r="AA116" s="2377"/>
      <c r="AB116" s="2377"/>
      <c r="AC116" s="2377"/>
      <c r="AD116" s="2377"/>
      <c r="AE116" s="2377"/>
      <c r="AF116" s="2377"/>
      <c r="AG116" s="2377"/>
      <c r="AH116" s="2377"/>
      <c r="AI116" s="2377"/>
      <c r="AJ116" s="2377"/>
      <c r="AK116" s="2377"/>
      <c r="AL116" s="2377"/>
      <c r="AM116" s="2377"/>
      <c r="AN116" s="2377"/>
      <c r="AO116" s="2377"/>
      <c r="AP116" s="2377"/>
      <c r="AQ116" s="2377"/>
      <c r="AR116" s="2377"/>
      <c r="AS116" s="2377"/>
      <c r="AT116" s="2377"/>
      <c r="AU116" s="2377"/>
      <c r="AV116" s="2377"/>
      <c r="AW116" s="2377"/>
      <c r="AX116" s="2378"/>
      <c r="AY116" s="1204"/>
      <c r="AZ116" s="1204"/>
      <c r="BA116" s="1204"/>
      <c r="BB116" s="1204"/>
      <c r="BC116" s="1204"/>
      <c r="BD116" s="1204"/>
      <c r="BE116" s="1210"/>
    </row>
    <row r="117" spans="1:57" ht="15.75" customHeight="1">
      <c r="A117" s="1204"/>
      <c r="B117" s="2379"/>
      <c r="C117" s="2377"/>
      <c r="D117" s="2377"/>
      <c r="E117" s="2377"/>
      <c r="F117" s="2377"/>
      <c r="G117" s="2377"/>
      <c r="H117" s="2377"/>
      <c r="I117" s="2377"/>
      <c r="J117" s="2377"/>
      <c r="K117" s="2377"/>
      <c r="L117" s="2377"/>
      <c r="M117" s="2377"/>
      <c r="N117" s="2377"/>
      <c r="O117" s="2377"/>
      <c r="P117" s="2377"/>
      <c r="Q117" s="2377"/>
      <c r="R117" s="2377"/>
      <c r="S117" s="2377"/>
      <c r="T117" s="2377"/>
      <c r="U117" s="2377"/>
      <c r="V117" s="2377"/>
      <c r="W117" s="2377"/>
      <c r="X117" s="2377"/>
      <c r="Y117" s="2377"/>
      <c r="Z117" s="2377"/>
      <c r="AA117" s="2377"/>
      <c r="AB117" s="2377"/>
      <c r="AC117" s="2377"/>
      <c r="AD117" s="2377"/>
      <c r="AE117" s="2377"/>
      <c r="AF117" s="2377"/>
      <c r="AG117" s="2377"/>
      <c r="AH117" s="2377"/>
      <c r="AI117" s="2377"/>
      <c r="AJ117" s="2377"/>
      <c r="AK117" s="2377"/>
      <c r="AL117" s="2377"/>
      <c r="AM117" s="2377"/>
      <c r="AN117" s="2377"/>
      <c r="AO117" s="2377"/>
      <c r="AP117" s="2377"/>
      <c r="AQ117" s="2377"/>
      <c r="AR117" s="2377"/>
      <c r="AS117" s="2377"/>
      <c r="AT117" s="2377"/>
      <c r="AU117" s="2377"/>
      <c r="AV117" s="2377"/>
      <c r="AW117" s="2377"/>
      <c r="AX117" s="2378"/>
      <c r="AY117" s="1204"/>
      <c r="AZ117" s="1204"/>
      <c r="BA117" s="1204"/>
      <c r="BB117" s="1204"/>
      <c r="BC117" s="1204"/>
      <c r="BD117" s="1204"/>
      <c r="BE117" s="1210"/>
    </row>
    <row r="118" spans="1:57" ht="15.75" customHeight="1">
      <c r="A118" s="1204"/>
      <c r="B118" s="2379"/>
      <c r="C118" s="2377"/>
      <c r="D118" s="2377"/>
      <c r="E118" s="2377"/>
      <c r="F118" s="2377"/>
      <c r="G118" s="2377"/>
      <c r="H118" s="2377"/>
      <c r="I118" s="2377"/>
      <c r="J118" s="2377"/>
      <c r="K118" s="2377"/>
      <c r="L118" s="2377"/>
      <c r="M118" s="2377"/>
      <c r="N118" s="2377"/>
      <c r="O118" s="2377"/>
      <c r="P118" s="2377"/>
      <c r="Q118" s="2377"/>
      <c r="R118" s="2377"/>
      <c r="S118" s="2377"/>
      <c r="T118" s="2377"/>
      <c r="U118" s="2377"/>
      <c r="V118" s="2377"/>
      <c r="W118" s="2377"/>
      <c r="X118" s="2377"/>
      <c r="Y118" s="2377"/>
      <c r="Z118" s="2377"/>
      <c r="AA118" s="2377"/>
      <c r="AB118" s="2377"/>
      <c r="AC118" s="2377"/>
      <c r="AD118" s="2377"/>
      <c r="AE118" s="2377"/>
      <c r="AF118" s="2377"/>
      <c r="AG118" s="2377"/>
      <c r="AH118" s="2377"/>
      <c r="AI118" s="2377"/>
      <c r="AJ118" s="2377"/>
      <c r="AK118" s="2377"/>
      <c r="AL118" s="2377"/>
      <c r="AM118" s="2377"/>
      <c r="AN118" s="2377"/>
      <c r="AO118" s="2377"/>
      <c r="AP118" s="2377"/>
      <c r="AQ118" s="2377"/>
      <c r="AR118" s="2377"/>
      <c r="AS118" s="2377"/>
      <c r="AT118" s="2377"/>
      <c r="AU118" s="2377"/>
      <c r="AV118" s="2377"/>
      <c r="AW118" s="2377"/>
      <c r="AX118" s="2378"/>
      <c r="AY118" s="1204"/>
      <c r="AZ118" s="1204"/>
      <c r="BA118" s="1204"/>
      <c r="BB118" s="1204"/>
      <c r="BC118" s="1204"/>
      <c r="BD118" s="1204"/>
      <c r="BE118" s="1210"/>
    </row>
    <row r="119" spans="1:57" ht="15.75" customHeight="1">
      <c r="A119" s="1204"/>
      <c r="B119" s="2379"/>
      <c r="C119" s="2377"/>
      <c r="D119" s="2377"/>
      <c r="E119" s="2377"/>
      <c r="F119" s="2377"/>
      <c r="G119" s="2377"/>
      <c r="H119" s="2377"/>
      <c r="I119" s="2377"/>
      <c r="J119" s="2377"/>
      <c r="K119" s="2377"/>
      <c r="L119" s="2377"/>
      <c r="M119" s="2377"/>
      <c r="N119" s="2377"/>
      <c r="O119" s="2377"/>
      <c r="P119" s="2377"/>
      <c r="Q119" s="2377"/>
      <c r="R119" s="2377"/>
      <c r="S119" s="2377"/>
      <c r="T119" s="2377"/>
      <c r="U119" s="2377"/>
      <c r="V119" s="2377"/>
      <c r="W119" s="2377"/>
      <c r="X119" s="2377"/>
      <c r="Y119" s="2377"/>
      <c r="Z119" s="2377"/>
      <c r="AA119" s="2377"/>
      <c r="AB119" s="2377"/>
      <c r="AC119" s="2377"/>
      <c r="AD119" s="2377"/>
      <c r="AE119" s="2377"/>
      <c r="AF119" s="2377"/>
      <c r="AG119" s="2377"/>
      <c r="AH119" s="2377"/>
      <c r="AI119" s="2377"/>
      <c r="AJ119" s="2377"/>
      <c r="AK119" s="2377"/>
      <c r="AL119" s="2377"/>
      <c r="AM119" s="2377"/>
      <c r="AN119" s="2377"/>
      <c r="AO119" s="2377"/>
      <c r="AP119" s="2377"/>
      <c r="AQ119" s="2377"/>
      <c r="AR119" s="2377"/>
      <c r="AS119" s="2377"/>
      <c r="AT119" s="2377"/>
      <c r="AU119" s="2377"/>
      <c r="AV119" s="2377"/>
      <c r="AW119" s="2377"/>
      <c r="AX119" s="2378"/>
      <c r="AY119" s="1204"/>
      <c r="AZ119" s="1204"/>
      <c r="BA119" s="1204"/>
      <c r="BB119" s="1204"/>
      <c r="BC119" s="1204"/>
      <c r="BD119" s="1204"/>
      <c r="BE119" s="1210"/>
    </row>
    <row r="120" spans="1:57" ht="15.75" customHeight="1">
      <c r="A120" s="1204"/>
      <c r="B120" s="2379"/>
      <c r="C120" s="2377"/>
      <c r="D120" s="2377"/>
      <c r="E120" s="2377"/>
      <c r="F120" s="2377"/>
      <c r="G120" s="2377"/>
      <c r="H120" s="2377"/>
      <c r="I120" s="2377"/>
      <c r="J120" s="2377"/>
      <c r="K120" s="2377"/>
      <c r="L120" s="2377"/>
      <c r="M120" s="2377"/>
      <c r="N120" s="2377"/>
      <c r="O120" s="2377"/>
      <c r="P120" s="2377"/>
      <c r="Q120" s="2377"/>
      <c r="R120" s="2377"/>
      <c r="S120" s="2377"/>
      <c r="T120" s="2377"/>
      <c r="U120" s="2377"/>
      <c r="V120" s="2377"/>
      <c r="W120" s="2377"/>
      <c r="X120" s="2377"/>
      <c r="Y120" s="2377"/>
      <c r="Z120" s="2377"/>
      <c r="AA120" s="2377"/>
      <c r="AB120" s="2377"/>
      <c r="AC120" s="2377"/>
      <c r="AD120" s="2377"/>
      <c r="AE120" s="2377"/>
      <c r="AF120" s="2377"/>
      <c r="AG120" s="2377"/>
      <c r="AH120" s="2377"/>
      <c r="AI120" s="2377"/>
      <c r="AJ120" s="2377"/>
      <c r="AK120" s="2377"/>
      <c r="AL120" s="2377"/>
      <c r="AM120" s="2377"/>
      <c r="AN120" s="2377"/>
      <c r="AO120" s="2377"/>
      <c r="AP120" s="2377"/>
      <c r="AQ120" s="2377"/>
      <c r="AR120" s="2377"/>
      <c r="AS120" s="2377"/>
      <c r="AT120" s="2377"/>
      <c r="AU120" s="2377"/>
      <c r="AV120" s="2377"/>
      <c r="AW120" s="2377"/>
      <c r="AX120" s="2378"/>
      <c r="AY120" s="1204"/>
      <c r="AZ120" s="1204"/>
      <c r="BA120" s="1204"/>
      <c r="BB120" s="1204"/>
      <c r="BC120" s="1204"/>
      <c r="BD120" s="1204"/>
      <c r="BE120" s="1210"/>
    </row>
    <row r="121" spans="1:57" ht="15.75" customHeight="1" thickBot="1">
      <c r="A121" s="1204"/>
      <c r="B121" s="2380"/>
      <c r="C121" s="2381"/>
      <c r="D121" s="2381"/>
      <c r="E121" s="2381"/>
      <c r="F121" s="2381"/>
      <c r="G121" s="2381"/>
      <c r="H121" s="2381"/>
      <c r="I121" s="2381"/>
      <c r="J121" s="2381"/>
      <c r="K121" s="2381"/>
      <c r="L121" s="2381"/>
      <c r="M121" s="2381"/>
      <c r="N121" s="2381"/>
      <c r="O121" s="2381"/>
      <c r="P121" s="2381"/>
      <c r="Q121" s="2381"/>
      <c r="R121" s="2381"/>
      <c r="S121" s="2381"/>
      <c r="T121" s="2381"/>
      <c r="U121" s="2381"/>
      <c r="V121" s="2381"/>
      <c r="W121" s="2381"/>
      <c r="X121" s="2381"/>
      <c r="Y121" s="2381"/>
      <c r="Z121" s="2381"/>
      <c r="AA121" s="2381"/>
      <c r="AB121" s="2381"/>
      <c r="AC121" s="2381"/>
      <c r="AD121" s="2381"/>
      <c r="AE121" s="2381"/>
      <c r="AF121" s="2381"/>
      <c r="AG121" s="2381"/>
      <c r="AH121" s="2381"/>
      <c r="AI121" s="2381"/>
      <c r="AJ121" s="2381"/>
      <c r="AK121" s="2381"/>
      <c r="AL121" s="2381"/>
      <c r="AM121" s="2381"/>
      <c r="AN121" s="2381"/>
      <c r="AO121" s="2381"/>
      <c r="AP121" s="2381"/>
      <c r="AQ121" s="2381"/>
      <c r="AR121" s="2381"/>
      <c r="AS121" s="2381"/>
      <c r="AT121" s="2381"/>
      <c r="AU121" s="2381"/>
      <c r="AV121" s="2381"/>
      <c r="AW121" s="2381"/>
      <c r="AX121" s="2382"/>
      <c r="AY121" s="1204"/>
      <c r="AZ121" s="1204"/>
      <c r="BA121" s="1204"/>
      <c r="BB121" s="1204"/>
      <c r="BC121" s="1204"/>
      <c r="BD121" s="1204"/>
      <c r="BE121" s="1210"/>
    </row>
    <row r="122" spans="1:57" ht="15.75" customHeight="1">
      <c r="A122" s="1204"/>
      <c r="B122" s="1204"/>
      <c r="C122" s="1204"/>
      <c r="D122" s="1204"/>
      <c r="E122" s="1204"/>
      <c r="F122" s="1204"/>
      <c r="G122" s="1204"/>
      <c r="H122" s="1204"/>
      <c r="I122" s="1204"/>
      <c r="J122" s="1204"/>
      <c r="K122" s="1204"/>
      <c r="L122" s="1204"/>
      <c r="M122" s="1204"/>
      <c r="N122" s="1204"/>
      <c r="O122" s="1204"/>
      <c r="P122" s="1204"/>
      <c r="Q122" s="1204"/>
      <c r="R122" s="1204"/>
      <c r="S122" s="1204"/>
      <c r="T122" s="1204"/>
      <c r="U122" s="1204"/>
      <c r="V122" s="1204"/>
      <c r="W122" s="1204"/>
      <c r="X122" s="1204"/>
      <c r="Y122" s="1204"/>
      <c r="Z122" s="1204"/>
      <c r="AA122" s="1204"/>
      <c r="AB122" s="1204"/>
      <c r="AC122" s="1204"/>
      <c r="AD122" s="1204"/>
      <c r="AE122" s="1204"/>
      <c r="AF122" s="1204"/>
      <c r="AG122" s="1204"/>
      <c r="AH122" s="1204"/>
      <c r="AI122" s="1204"/>
      <c r="AJ122" s="1204"/>
      <c r="AK122" s="1204"/>
      <c r="AL122" s="1204"/>
      <c r="AM122" s="1204"/>
      <c r="AN122" s="1204"/>
      <c r="AO122" s="1204"/>
      <c r="AP122" s="1204"/>
      <c r="AQ122" s="1204"/>
      <c r="AR122" s="1204"/>
      <c r="AS122" s="1204"/>
      <c r="AT122" s="1204"/>
      <c r="AU122" s="1204"/>
      <c r="AV122" s="1204"/>
      <c r="AW122" s="1204"/>
      <c r="AX122" s="1204"/>
      <c r="AY122" s="1204"/>
      <c r="AZ122" s="1204"/>
      <c r="BA122" s="1204"/>
      <c r="BB122" s="1204"/>
      <c r="BC122" s="1204"/>
      <c r="BD122" s="1204"/>
      <c r="BE122" s="1210"/>
    </row>
    <row r="123" spans="1:57" ht="15.75" customHeight="1">
      <c r="A123" s="1204"/>
      <c r="B123" s="1214" t="s">
        <v>1909</v>
      </c>
      <c r="C123" s="1214"/>
      <c r="D123" s="1214"/>
      <c r="E123" s="1214"/>
      <c r="F123" s="1214"/>
      <c r="G123" s="1214"/>
      <c r="H123" s="1214"/>
      <c r="I123" s="1214"/>
      <c r="J123" s="1214"/>
      <c r="K123" s="1214"/>
      <c r="L123" s="1214"/>
      <c r="M123" s="1214"/>
      <c r="N123" s="1211"/>
      <c r="O123" s="1211"/>
      <c r="P123" s="1204"/>
      <c r="Q123" s="1204"/>
      <c r="R123" s="1204"/>
      <c r="S123" s="1204"/>
      <c r="T123" s="1204"/>
      <c r="U123" s="1204" t="s">
        <v>252</v>
      </c>
      <c r="V123" s="1204"/>
      <c r="W123" s="1204"/>
      <c r="X123" s="1218" t="s">
        <v>2263</v>
      </c>
      <c r="Y123" s="1218"/>
      <c r="Z123" s="1218"/>
      <c r="AA123" s="1218"/>
      <c r="AB123" s="1218"/>
      <c r="AC123" s="1218"/>
      <c r="AD123" s="1218"/>
      <c r="AE123" s="1218"/>
      <c r="AF123" s="1218"/>
      <c r="AG123" s="1218"/>
      <c r="AH123" s="1218"/>
      <c r="AI123" s="1218"/>
      <c r="AJ123" s="1218"/>
      <c r="AK123" s="1219"/>
      <c r="AL123" s="1219"/>
      <c r="AM123" s="1219"/>
      <c r="AN123" s="1204"/>
      <c r="AO123" s="1204"/>
      <c r="AP123" s="1204"/>
      <c r="AQ123" s="1204"/>
      <c r="AR123" s="1204"/>
      <c r="AS123" s="1204"/>
      <c r="AT123" s="1204"/>
      <c r="AU123" s="1204"/>
      <c r="AV123" s="1204"/>
      <c r="AW123" s="1204"/>
      <c r="AX123" s="1204"/>
      <c r="AY123" s="1204"/>
      <c r="AZ123" s="1204"/>
      <c r="BA123" s="1204"/>
      <c r="BB123" s="1204"/>
      <c r="BC123" s="1204"/>
      <c r="BD123" s="1204"/>
      <c r="BE123" s="1210"/>
    </row>
    <row r="124" spans="1:57" ht="15.75" customHeight="1" thickBot="1">
      <c r="A124" s="1204"/>
      <c r="B124" s="1204"/>
      <c r="C124" s="1204"/>
      <c r="D124" s="1204"/>
      <c r="E124" s="1204"/>
      <c r="F124" s="1204"/>
      <c r="G124" s="1204"/>
      <c r="H124" s="1204"/>
      <c r="I124" s="1204"/>
      <c r="J124" s="1204"/>
      <c r="K124" s="1204"/>
      <c r="L124" s="1204"/>
      <c r="M124" s="1204"/>
      <c r="N124" s="1204"/>
      <c r="O124" s="1204"/>
      <c r="P124" s="1211"/>
      <c r="Q124" s="1204"/>
      <c r="R124" s="1204"/>
      <c r="S124" s="1204"/>
      <c r="T124" s="1204"/>
      <c r="U124" s="1204"/>
      <c r="V124" s="1204"/>
      <c r="W124" s="1204"/>
      <c r="X124" s="1204"/>
      <c r="Y124" s="1204"/>
      <c r="Z124" s="1204"/>
      <c r="AA124" s="1204"/>
      <c r="AB124" s="1204"/>
      <c r="AC124" s="1204"/>
      <c r="AD124" s="1204"/>
      <c r="AE124" s="1204"/>
      <c r="AF124" s="1204"/>
      <c r="AG124" s="1204"/>
      <c r="AH124" s="1204"/>
      <c r="AI124" s="1204"/>
      <c r="AJ124" s="1204"/>
      <c r="AK124" s="1204"/>
      <c r="AL124" s="1204"/>
      <c r="AM124" s="1204"/>
      <c r="AN124" s="1204"/>
      <c r="AO124" s="1204"/>
      <c r="AP124" s="1204"/>
      <c r="AQ124" s="1204"/>
      <c r="AR124" s="1204"/>
      <c r="AS124" s="1204"/>
      <c r="AT124" s="1204"/>
      <c r="AU124" s="1204"/>
      <c r="AV124" s="1204"/>
      <c r="AW124" s="1204"/>
      <c r="AX124" s="1204"/>
      <c r="AY124" s="1204"/>
      <c r="AZ124" s="1204"/>
      <c r="BA124" s="1204"/>
      <c r="BB124" s="1204"/>
      <c r="BC124" s="1204"/>
      <c r="BD124" s="1204"/>
      <c r="BE124" s="1210"/>
    </row>
    <row r="125" spans="1:57" ht="15.75" customHeight="1">
      <c r="A125" s="1204"/>
      <c r="B125" s="2237" t="s">
        <v>1910</v>
      </c>
      <c r="C125" s="2238"/>
      <c r="D125" s="2238"/>
      <c r="E125" s="2238"/>
      <c r="F125" s="2238"/>
      <c r="G125" s="2238"/>
      <c r="H125" s="2238"/>
      <c r="I125" s="2238"/>
      <c r="J125" s="2238"/>
      <c r="K125" s="2238"/>
      <c r="L125" s="2238"/>
      <c r="M125" s="2238"/>
      <c r="N125" s="2238"/>
      <c r="O125" s="2238"/>
      <c r="P125" s="2238"/>
      <c r="Q125" s="2238"/>
      <c r="R125" s="2238"/>
      <c r="S125" s="2238"/>
      <c r="T125" s="2238"/>
      <c r="U125" s="2239"/>
      <c r="V125" s="1204"/>
      <c r="W125" s="1206"/>
      <c r="X125" s="2237" t="s">
        <v>2264</v>
      </c>
      <c r="Y125" s="2238"/>
      <c r="Z125" s="2238"/>
      <c r="AA125" s="2238"/>
      <c r="AB125" s="2238"/>
      <c r="AC125" s="2238"/>
      <c r="AD125" s="2238"/>
      <c r="AE125" s="2238"/>
      <c r="AF125" s="2238"/>
      <c r="AG125" s="2238"/>
      <c r="AH125" s="2238"/>
      <c r="AI125" s="2238"/>
      <c r="AJ125" s="2238"/>
      <c r="AK125" s="2238"/>
      <c r="AL125" s="2238"/>
      <c r="AM125" s="2238"/>
      <c r="AN125" s="2238"/>
      <c r="AO125" s="2238"/>
      <c r="AP125" s="2238"/>
      <c r="AQ125" s="2239"/>
      <c r="AR125" s="1204"/>
      <c r="AS125" s="1204"/>
      <c r="AT125" s="1204"/>
      <c r="AU125" s="1204"/>
      <c r="AV125" s="1204"/>
      <c r="AW125" s="1204"/>
      <c r="AX125" s="1204"/>
      <c r="AY125" s="1204"/>
      <c r="AZ125" s="1204"/>
      <c r="BA125" s="1204"/>
      <c r="BB125" s="1204"/>
      <c r="BC125" s="1204"/>
      <c r="BD125" s="1204"/>
      <c r="BE125" s="1210"/>
    </row>
    <row r="126" spans="1:57" ht="15.75" customHeight="1">
      <c r="A126" s="1204"/>
      <c r="B126" s="2354"/>
      <c r="C126" s="2355"/>
      <c r="D126" s="2355"/>
      <c r="E126" s="2355"/>
      <c r="F126" s="2355"/>
      <c r="G126" s="2355"/>
      <c r="H126" s="2355"/>
      <c r="I126" s="2356" t="s">
        <v>1899</v>
      </c>
      <c r="J126" s="2356"/>
      <c r="K126" s="2356"/>
      <c r="L126" s="2356"/>
      <c r="M126" s="2356"/>
      <c r="N126" s="2356"/>
      <c r="O126" s="2356"/>
      <c r="P126" s="2356" t="s">
        <v>2265</v>
      </c>
      <c r="Q126" s="2356"/>
      <c r="R126" s="2356"/>
      <c r="S126" s="2356"/>
      <c r="T126" s="2356"/>
      <c r="U126" s="2357"/>
      <c r="V126" s="1204"/>
      <c r="W126" s="1204"/>
      <c r="X126" s="2354"/>
      <c r="Y126" s="2355"/>
      <c r="Z126" s="2355"/>
      <c r="AA126" s="2355"/>
      <c r="AB126" s="2355"/>
      <c r="AC126" s="2355"/>
      <c r="AD126" s="2355"/>
      <c r="AE126" s="2356" t="s">
        <v>1899</v>
      </c>
      <c r="AF126" s="2356"/>
      <c r="AG126" s="2356"/>
      <c r="AH126" s="2356"/>
      <c r="AI126" s="2356"/>
      <c r="AJ126" s="2356"/>
      <c r="AK126" s="2356"/>
      <c r="AL126" s="2356" t="s">
        <v>2261</v>
      </c>
      <c r="AM126" s="2356"/>
      <c r="AN126" s="2356"/>
      <c r="AO126" s="2356"/>
      <c r="AP126" s="2356"/>
      <c r="AQ126" s="2357"/>
      <c r="AR126" s="1204"/>
      <c r="AS126" s="1204"/>
      <c r="AT126" s="1204"/>
      <c r="AU126" s="1204"/>
      <c r="AV126" s="1204"/>
      <c r="AW126" s="1204"/>
      <c r="AX126" s="1204"/>
      <c r="AY126" s="1204"/>
      <c r="AZ126" s="1204"/>
      <c r="BA126" s="1204"/>
      <c r="BB126" s="1204"/>
      <c r="BC126" s="1204"/>
      <c r="BD126" s="1204"/>
      <c r="BE126" s="1210"/>
    </row>
    <row r="127" spans="1:57" ht="15.75" customHeight="1">
      <c r="A127" s="1204"/>
      <c r="B127" s="2354"/>
      <c r="C127" s="2355"/>
      <c r="D127" s="2355"/>
      <c r="E127" s="2355"/>
      <c r="F127" s="2355"/>
      <c r="G127" s="2355"/>
      <c r="H127" s="2355"/>
      <c r="I127" s="2356"/>
      <c r="J127" s="2356"/>
      <c r="K127" s="2356"/>
      <c r="L127" s="2356"/>
      <c r="M127" s="2356"/>
      <c r="N127" s="2356"/>
      <c r="O127" s="2356"/>
      <c r="P127" s="2356"/>
      <c r="Q127" s="2356"/>
      <c r="R127" s="2356"/>
      <c r="S127" s="2356"/>
      <c r="T127" s="2356"/>
      <c r="U127" s="2357"/>
      <c r="V127" s="1204"/>
      <c r="W127" s="1204"/>
      <c r="X127" s="2354"/>
      <c r="Y127" s="2355"/>
      <c r="Z127" s="2355"/>
      <c r="AA127" s="2355"/>
      <c r="AB127" s="2355"/>
      <c r="AC127" s="2355"/>
      <c r="AD127" s="2355"/>
      <c r="AE127" s="2356"/>
      <c r="AF127" s="2356"/>
      <c r="AG127" s="2356"/>
      <c r="AH127" s="2356"/>
      <c r="AI127" s="2356"/>
      <c r="AJ127" s="2356"/>
      <c r="AK127" s="2356"/>
      <c r="AL127" s="2356"/>
      <c r="AM127" s="2356"/>
      <c r="AN127" s="2356"/>
      <c r="AO127" s="2356"/>
      <c r="AP127" s="2356"/>
      <c r="AQ127" s="2357"/>
      <c r="AR127" s="1204"/>
      <c r="AS127" s="1204"/>
      <c r="AT127" s="1204"/>
      <c r="AU127" s="1204"/>
      <c r="AV127" s="1204"/>
      <c r="AW127" s="1204"/>
      <c r="AX127" s="1204"/>
      <c r="AY127" s="1204"/>
      <c r="AZ127" s="1204"/>
      <c r="BA127" s="1204"/>
      <c r="BB127" s="1204"/>
      <c r="BC127" s="1204"/>
      <c r="BD127" s="1204"/>
      <c r="BE127" s="1210"/>
    </row>
    <row r="128" spans="1:57" ht="15.75" customHeight="1" thickBot="1">
      <c r="A128" s="1204"/>
      <c r="B128" s="2366" t="s">
        <v>2252</v>
      </c>
      <c r="C128" s="2367"/>
      <c r="D128" s="2367"/>
      <c r="E128" s="2367"/>
      <c r="F128" s="2367"/>
      <c r="G128" s="2367"/>
      <c r="H128" s="2367"/>
      <c r="I128" s="2341">
        <v>5</v>
      </c>
      <c r="J128" s="2341"/>
      <c r="K128" s="2341"/>
      <c r="L128" s="2341"/>
      <c r="M128" s="2341"/>
      <c r="N128" s="2341"/>
      <c r="O128" s="2341"/>
      <c r="P128" s="2341">
        <v>7</v>
      </c>
      <c r="Q128" s="2341"/>
      <c r="R128" s="2341"/>
      <c r="S128" s="2341"/>
      <c r="T128" s="2341"/>
      <c r="U128" s="2350"/>
      <c r="V128" s="1204"/>
      <c r="W128" s="1204"/>
      <c r="X128" s="2368" t="s">
        <v>2252</v>
      </c>
      <c r="Y128" s="2369"/>
      <c r="Z128" s="2369"/>
      <c r="AA128" s="2369"/>
      <c r="AB128" s="2369"/>
      <c r="AC128" s="2369"/>
      <c r="AD128" s="2369"/>
      <c r="AE128" s="2348" t="s">
        <v>2757</v>
      </c>
      <c r="AF128" s="2348"/>
      <c r="AG128" s="2348"/>
      <c r="AH128" s="2348"/>
      <c r="AI128" s="2348"/>
      <c r="AJ128" s="2348"/>
      <c r="AK128" s="2348"/>
      <c r="AL128" s="2348">
        <v>35</v>
      </c>
      <c r="AM128" s="2348"/>
      <c r="AN128" s="2348"/>
      <c r="AO128" s="2348"/>
      <c r="AP128" s="2348"/>
      <c r="AQ128" s="2349"/>
      <c r="AR128" s="1204"/>
      <c r="AS128" s="1204"/>
      <c r="AT128" s="1204"/>
      <c r="AU128" s="1204"/>
      <c r="AV128" s="1204"/>
      <c r="AW128" s="1204"/>
      <c r="AX128" s="1204"/>
      <c r="AY128" s="1204"/>
      <c r="AZ128" s="1204"/>
      <c r="BA128" s="1204"/>
      <c r="BB128" s="1204"/>
      <c r="BC128" s="1204"/>
      <c r="BD128" s="1204"/>
      <c r="BE128" s="1210"/>
    </row>
    <row r="129" spans="1:57" ht="15.75" customHeight="1" thickBot="1">
      <c r="A129" s="1204"/>
      <c r="B129" s="2368" t="s">
        <v>2253</v>
      </c>
      <c r="C129" s="2369"/>
      <c r="D129" s="2369"/>
      <c r="E129" s="2369"/>
      <c r="F129" s="2369"/>
      <c r="G129" s="2369"/>
      <c r="H129" s="2369"/>
      <c r="I129" s="2348">
        <v>38</v>
      </c>
      <c r="J129" s="2348"/>
      <c r="K129" s="2348"/>
      <c r="L129" s="2348"/>
      <c r="M129" s="2348"/>
      <c r="N129" s="2348"/>
      <c r="O129" s="2348"/>
      <c r="P129" s="2348">
        <v>217</v>
      </c>
      <c r="Q129" s="2348"/>
      <c r="R129" s="2348"/>
      <c r="S129" s="2348"/>
      <c r="T129" s="2348"/>
      <c r="U129" s="2349"/>
      <c r="V129" s="1204"/>
      <c r="W129" s="1204"/>
      <c r="X129" s="1204"/>
      <c r="Y129" s="1204"/>
      <c r="Z129" s="1204"/>
      <c r="AA129" s="1204"/>
      <c r="AB129" s="1204"/>
      <c r="AC129" s="1204"/>
      <c r="AD129" s="1204"/>
      <c r="AE129" s="1204"/>
      <c r="AF129" s="1204"/>
      <c r="AG129" s="1204"/>
      <c r="AH129" s="1204"/>
      <c r="AI129" s="1204"/>
      <c r="AJ129" s="1204"/>
      <c r="AK129" s="1204"/>
      <c r="AL129" s="1204"/>
      <c r="AM129" s="1204"/>
      <c r="AN129" s="1204"/>
      <c r="AO129" s="1204"/>
      <c r="AP129" s="1204"/>
      <c r="AQ129" s="1204"/>
      <c r="AR129" s="1204"/>
      <c r="AS129" s="1204"/>
      <c r="AT129" s="1204"/>
      <c r="AU129" s="1204"/>
      <c r="AV129" s="1204"/>
      <c r="AW129" s="1204"/>
      <c r="AX129" s="1204"/>
      <c r="AY129" s="1204"/>
      <c r="AZ129" s="1204"/>
      <c r="BA129" s="1204"/>
      <c r="BB129" s="1204"/>
      <c r="BC129" s="1204"/>
      <c r="BD129" s="1204"/>
      <c r="BE129" s="1210"/>
    </row>
    <row r="130" spans="1:57" ht="15.75" customHeight="1" thickBot="1">
      <c r="A130" s="1204"/>
      <c r="B130" s="1204"/>
      <c r="C130" s="1204"/>
      <c r="D130" s="1204"/>
      <c r="E130" s="1204"/>
      <c r="F130" s="1204"/>
      <c r="G130" s="1204"/>
      <c r="H130" s="1204"/>
      <c r="I130" s="1204"/>
      <c r="J130" s="1204"/>
      <c r="K130" s="1204"/>
      <c r="L130" s="1204"/>
      <c r="M130" s="1204"/>
      <c r="N130" s="1204"/>
      <c r="O130" s="1204"/>
      <c r="P130" s="1204"/>
      <c r="Q130" s="1204"/>
      <c r="R130" s="1204"/>
      <c r="S130" s="1204"/>
      <c r="T130" s="1204"/>
      <c r="U130" s="1204"/>
      <c r="V130" s="1204"/>
      <c r="W130" s="1204"/>
      <c r="X130" s="1204"/>
      <c r="Y130" s="1204"/>
      <c r="Z130" s="1204"/>
      <c r="AA130" s="1204"/>
      <c r="AB130" s="1204"/>
      <c r="AC130" s="1204"/>
      <c r="AD130" s="1204"/>
      <c r="AE130" s="1204"/>
      <c r="AF130" s="1204"/>
      <c r="AG130" s="1204"/>
      <c r="AH130" s="1204"/>
      <c r="AI130" s="1204"/>
      <c r="AJ130" s="1204"/>
      <c r="AK130" s="1204"/>
      <c r="AL130" s="1204"/>
      <c r="AM130" s="1204"/>
      <c r="AN130" s="1204"/>
      <c r="AO130" s="1204"/>
      <c r="AP130" s="1204"/>
      <c r="AQ130" s="1204"/>
      <c r="AR130" s="1204"/>
      <c r="AS130" s="1204"/>
      <c r="AT130" s="1204"/>
      <c r="AU130" s="1204"/>
      <c r="AV130" s="1204"/>
      <c r="AW130" s="1204"/>
      <c r="AX130" s="1204"/>
      <c r="AY130" s="1204"/>
      <c r="AZ130" s="1204"/>
      <c r="BA130" s="1204"/>
      <c r="BB130" s="1204"/>
      <c r="BC130" s="1204"/>
      <c r="BD130" s="1204"/>
      <c r="BE130" s="1210"/>
    </row>
    <row r="131" spans="1:57" ht="15.75" customHeight="1">
      <c r="A131" s="1204"/>
      <c r="B131" s="1204"/>
      <c r="C131" s="2237" t="s">
        <v>2254</v>
      </c>
      <c r="D131" s="2238"/>
      <c r="E131" s="2238"/>
      <c r="F131" s="2238"/>
      <c r="G131" s="2238"/>
      <c r="H131" s="2238"/>
      <c r="I131" s="2238"/>
      <c r="J131" s="2238"/>
      <c r="K131" s="2238"/>
      <c r="L131" s="2238"/>
      <c r="M131" s="2238"/>
      <c r="N131" s="2238"/>
      <c r="O131" s="2238"/>
      <c r="P131" s="2238"/>
      <c r="Q131" s="2238"/>
      <c r="R131" s="2238"/>
      <c r="S131" s="2238"/>
      <c r="T131" s="2238"/>
      <c r="U131" s="2238"/>
      <c r="V131" s="2238"/>
      <c r="W131" s="2238"/>
      <c r="X131" s="2238"/>
      <c r="Y131" s="2238"/>
      <c r="Z131" s="2238"/>
      <c r="AA131" s="2238"/>
      <c r="AB131" s="2238"/>
      <c r="AC131" s="2238"/>
      <c r="AD131" s="2238"/>
      <c r="AE131" s="2238"/>
      <c r="AF131" s="2238"/>
      <c r="AG131" s="2239"/>
      <c r="AH131" s="1204"/>
      <c r="AI131" s="1204"/>
      <c r="AJ131" s="1204"/>
      <c r="AK131" s="1204"/>
      <c r="AL131" s="1204"/>
      <c r="AM131" s="1204"/>
      <c r="AN131" s="1204"/>
      <c r="AO131" s="1204"/>
      <c r="AP131" s="1204"/>
      <c r="AQ131" s="1204"/>
      <c r="AR131" s="1204"/>
      <c r="AS131" s="1204"/>
      <c r="AT131" s="1204"/>
      <c r="AU131" s="1204"/>
      <c r="AV131" s="1204"/>
      <c r="AW131" s="1204"/>
      <c r="AX131" s="1204"/>
      <c r="AY131" s="1204"/>
      <c r="AZ131" s="1204"/>
      <c r="BA131" s="1204"/>
      <c r="BB131" s="1204"/>
      <c r="BC131" s="1204"/>
      <c r="BD131" s="1204"/>
      <c r="BE131" s="1210"/>
    </row>
    <row r="132" spans="1:57" ht="15.75" customHeight="1">
      <c r="A132" s="1204"/>
      <c r="B132" s="1204"/>
      <c r="C132" s="2354" t="s">
        <v>1911</v>
      </c>
      <c r="D132" s="2355"/>
      <c r="E132" s="2355"/>
      <c r="F132" s="2355"/>
      <c r="G132" s="2355"/>
      <c r="H132" s="2355"/>
      <c r="I132" s="2355"/>
      <c r="J132" s="2355"/>
      <c r="K132" s="2355"/>
      <c r="L132" s="2355"/>
      <c r="M132" s="2355"/>
      <c r="N132" s="2355"/>
      <c r="O132" s="2355"/>
      <c r="P132" s="2355"/>
      <c r="Q132" s="2355" t="s">
        <v>1912</v>
      </c>
      <c r="R132" s="2355"/>
      <c r="S132" s="2355"/>
      <c r="T132" s="2245" t="s">
        <v>2255</v>
      </c>
      <c r="U132" s="2245"/>
      <c r="V132" s="2245"/>
      <c r="W132" s="2245"/>
      <c r="X132" s="2245"/>
      <c r="Y132" s="2245"/>
      <c r="Z132" s="2245"/>
      <c r="AA132" s="2245"/>
      <c r="AB132" s="2355" t="s">
        <v>1913</v>
      </c>
      <c r="AC132" s="2355"/>
      <c r="AD132" s="2355"/>
      <c r="AE132" s="2355"/>
      <c r="AF132" s="2355"/>
      <c r="AG132" s="2388"/>
      <c r="AH132" s="1204"/>
      <c r="AI132" s="1204"/>
      <c r="AJ132" s="1204"/>
      <c r="AK132" s="1204"/>
      <c r="AL132" s="1204"/>
      <c r="AM132" s="1204"/>
      <c r="AN132" s="1204"/>
      <c r="AO132" s="1204"/>
      <c r="AP132" s="1204"/>
      <c r="AQ132" s="1204"/>
      <c r="AR132" s="1204"/>
      <c r="AS132" s="1204"/>
      <c r="AT132" s="1204"/>
      <c r="AU132" s="1204"/>
      <c r="AV132" s="1204"/>
      <c r="AW132" s="1204"/>
      <c r="AX132" s="1204"/>
      <c r="AY132" s="1204"/>
      <c r="AZ132" s="1204"/>
      <c r="BA132" s="1204"/>
      <c r="BB132" s="1204"/>
      <c r="BC132" s="1204"/>
      <c r="BD132" s="1204"/>
      <c r="BE132" s="1210"/>
    </row>
    <row r="133" spans="1:57" ht="15.75" customHeight="1">
      <c r="A133" s="1204"/>
      <c r="B133" s="1204"/>
      <c r="C133" s="2383" t="s">
        <v>1914</v>
      </c>
      <c r="D133" s="2384"/>
      <c r="E133" s="2384"/>
      <c r="F133" s="2384"/>
      <c r="G133" s="2384"/>
      <c r="H133" s="2384"/>
      <c r="I133" s="2384"/>
      <c r="J133" s="2384"/>
      <c r="K133" s="2384"/>
      <c r="L133" s="2384"/>
      <c r="M133" s="2384"/>
      <c r="N133" s="2384"/>
      <c r="O133" s="2384"/>
      <c r="P133" s="2384"/>
      <c r="Q133" s="2385">
        <v>55</v>
      </c>
      <c r="R133" s="2385"/>
      <c r="S133" s="2385"/>
      <c r="T133" s="2386">
        <v>45056</v>
      </c>
      <c r="U133" s="2386"/>
      <c r="V133" s="2386"/>
      <c r="W133" s="2386"/>
      <c r="X133" s="2386"/>
      <c r="Y133" s="2386"/>
      <c r="Z133" s="2386"/>
      <c r="AA133" s="2386"/>
      <c r="AB133" s="1222"/>
      <c r="AC133" s="1222"/>
      <c r="AD133" s="1222"/>
      <c r="AE133" s="1222"/>
      <c r="AF133" s="1222"/>
      <c r="AG133" s="1223"/>
      <c r="AH133" s="1204"/>
      <c r="AI133" s="1204"/>
      <c r="AJ133" s="1204"/>
      <c r="AK133" s="1204"/>
      <c r="AL133" s="1204"/>
      <c r="AM133" s="1204"/>
      <c r="AN133" s="1204"/>
      <c r="AO133" s="1204"/>
      <c r="AP133" s="1204" t="s">
        <v>252</v>
      </c>
      <c r="AQ133" s="1204"/>
      <c r="AR133" s="1204"/>
      <c r="AS133" s="1204"/>
      <c r="AT133" s="1204"/>
      <c r="AU133" s="1204"/>
      <c r="AV133" s="1204"/>
      <c r="AW133" s="1204"/>
      <c r="AX133" s="1204"/>
      <c r="AY133" s="1204"/>
      <c r="AZ133" s="1204"/>
      <c r="BA133" s="1204"/>
      <c r="BB133" s="1204"/>
      <c r="BC133" s="1204"/>
      <c r="BD133" s="1204"/>
      <c r="BE133" s="1210"/>
    </row>
    <row r="134" spans="1:57" ht="15.75" customHeight="1">
      <c r="A134" s="1204"/>
      <c r="B134" s="1204"/>
      <c r="C134" s="2383" t="s">
        <v>1915</v>
      </c>
      <c r="D134" s="2384"/>
      <c r="E134" s="2384"/>
      <c r="F134" s="2384"/>
      <c r="G134" s="2384"/>
      <c r="H134" s="2384"/>
      <c r="I134" s="2384"/>
      <c r="J134" s="2384"/>
      <c r="K134" s="2384"/>
      <c r="L134" s="2384"/>
      <c r="M134" s="2384"/>
      <c r="N134" s="2384"/>
      <c r="O134" s="2384"/>
      <c r="P134" s="2384"/>
      <c r="Q134" s="2385">
        <v>55</v>
      </c>
      <c r="R134" s="2385"/>
      <c r="S134" s="2385"/>
      <c r="T134" s="2387"/>
      <c r="U134" s="2387"/>
      <c r="V134" s="2387"/>
      <c r="W134" s="2387"/>
      <c r="X134" s="2387"/>
      <c r="Y134" s="2387"/>
      <c r="Z134" s="2387"/>
      <c r="AA134" s="2387"/>
      <c r="AB134" s="1222"/>
      <c r="AC134" s="1222"/>
      <c r="AD134" s="1222"/>
      <c r="AE134" s="1222"/>
      <c r="AF134" s="1222"/>
      <c r="AG134" s="1223"/>
      <c r="AH134" s="1204"/>
      <c r="AI134" s="1204"/>
      <c r="AJ134" s="1204"/>
      <c r="AK134" s="1204"/>
      <c r="AL134" s="1204"/>
      <c r="AM134" s="1204"/>
      <c r="AN134" s="1204"/>
      <c r="AO134" s="1204"/>
      <c r="AP134" s="1204"/>
      <c r="AQ134" s="1204"/>
      <c r="AR134" s="1204"/>
      <c r="AS134" s="1204"/>
      <c r="AT134" s="1204"/>
      <c r="AU134" s="1204"/>
      <c r="AV134" s="1204"/>
      <c r="AW134" s="1204"/>
      <c r="AX134" s="1204"/>
      <c r="AY134" s="1204"/>
      <c r="AZ134" s="1204"/>
      <c r="BA134" s="1204"/>
      <c r="BB134" s="1204"/>
      <c r="BC134" s="1204"/>
      <c r="BD134" s="1204"/>
      <c r="BE134" s="1210"/>
    </row>
    <row r="135" spans="1:57" ht="15.75" customHeight="1">
      <c r="A135" s="1204"/>
      <c r="B135" s="1204"/>
      <c r="C135" s="2383" t="s">
        <v>1916</v>
      </c>
      <c r="D135" s="2384"/>
      <c r="E135" s="2384"/>
      <c r="F135" s="2384"/>
      <c r="G135" s="2384"/>
      <c r="H135" s="2384"/>
      <c r="I135" s="2384"/>
      <c r="J135" s="2384"/>
      <c r="K135" s="2384"/>
      <c r="L135" s="2384"/>
      <c r="M135" s="2384"/>
      <c r="N135" s="2384"/>
      <c r="O135" s="2384"/>
      <c r="P135" s="2384"/>
      <c r="Q135" s="2385">
        <v>55</v>
      </c>
      <c r="R135" s="2385"/>
      <c r="S135" s="2385"/>
      <c r="T135" s="2386"/>
      <c r="U135" s="2386"/>
      <c r="V135" s="2386"/>
      <c r="W135" s="2386"/>
      <c r="X135" s="2386"/>
      <c r="Y135" s="2386"/>
      <c r="Z135" s="2386"/>
      <c r="AA135" s="2386"/>
      <c r="AB135" s="1222"/>
      <c r="AC135" s="1222"/>
      <c r="AD135" s="1222"/>
      <c r="AE135" s="1222"/>
      <c r="AF135" s="1222"/>
      <c r="AG135" s="1223"/>
      <c r="AH135" s="1204"/>
      <c r="AI135" s="1204"/>
      <c r="AJ135" s="1204"/>
      <c r="AK135" s="1204"/>
      <c r="AL135" s="1204"/>
      <c r="AM135" s="1204"/>
      <c r="AN135" s="1204"/>
      <c r="AO135" s="1204"/>
      <c r="AP135" s="1204"/>
      <c r="AQ135" s="1204"/>
      <c r="AR135" s="1204"/>
      <c r="AS135" s="1204"/>
      <c r="AT135" s="1204"/>
      <c r="AU135" s="1204"/>
      <c r="AV135" s="1204"/>
      <c r="AW135" s="1204"/>
      <c r="AX135" s="1204"/>
      <c r="AY135" s="1204"/>
      <c r="AZ135" s="1204"/>
      <c r="BA135" s="1204"/>
      <c r="BB135" s="1204"/>
      <c r="BC135" s="1204"/>
      <c r="BD135" s="1204"/>
      <c r="BE135" s="1210"/>
    </row>
    <row r="136" spans="1:57" ht="15.75" customHeight="1">
      <c r="A136" s="1204"/>
      <c r="B136" s="1204"/>
      <c r="C136" s="2383" t="s">
        <v>1884</v>
      </c>
      <c r="D136" s="2384"/>
      <c r="E136" s="2384"/>
      <c r="F136" s="2384"/>
      <c r="G136" s="2384"/>
      <c r="H136" s="2384"/>
      <c r="I136" s="2384"/>
      <c r="J136" s="2384"/>
      <c r="K136" s="2384"/>
      <c r="L136" s="2384"/>
      <c r="M136" s="2384"/>
      <c r="N136" s="2384"/>
      <c r="O136" s="2384"/>
      <c r="P136" s="2384"/>
      <c r="Q136" s="2385">
        <v>55</v>
      </c>
      <c r="R136" s="2385"/>
      <c r="S136" s="2385"/>
      <c r="T136" s="2386"/>
      <c r="U136" s="2386"/>
      <c r="V136" s="2386"/>
      <c r="W136" s="2386"/>
      <c r="X136" s="2386"/>
      <c r="Y136" s="2386"/>
      <c r="Z136" s="2386"/>
      <c r="AA136" s="2386"/>
      <c r="AB136" s="2389">
        <v>0</v>
      </c>
      <c r="AC136" s="2389"/>
      <c r="AD136" s="2389"/>
      <c r="AE136" s="2389"/>
      <c r="AF136" s="2389"/>
      <c r="AG136" s="2390"/>
      <c r="AH136" s="1204"/>
      <c r="AI136" s="1204"/>
      <c r="AJ136" s="1204"/>
      <c r="AK136" s="1204"/>
      <c r="AL136" s="1204"/>
      <c r="AM136" s="1204"/>
      <c r="AN136" s="1204"/>
      <c r="AO136" s="1204"/>
      <c r="AP136" s="1204"/>
      <c r="AQ136" s="1204"/>
      <c r="AR136" s="1204"/>
      <c r="AS136" s="1204"/>
      <c r="AT136" s="1204"/>
      <c r="AU136" s="1204"/>
      <c r="AV136" s="1204"/>
      <c r="AW136" s="1204"/>
      <c r="AX136" s="1204"/>
      <c r="AY136" s="1204"/>
      <c r="AZ136" s="1204"/>
      <c r="BA136" s="1204"/>
      <c r="BB136" s="1204"/>
      <c r="BC136" s="1204"/>
      <c r="BD136" s="1204"/>
      <c r="BE136" s="1210"/>
    </row>
    <row r="137" spans="1:57" ht="15.75" customHeight="1">
      <c r="A137" s="1204"/>
      <c r="B137" s="1204"/>
      <c r="C137" s="2383" t="s">
        <v>171</v>
      </c>
      <c r="D137" s="2384"/>
      <c r="E137" s="2384"/>
      <c r="F137" s="2391" t="s">
        <v>1917</v>
      </c>
      <c r="G137" s="2391"/>
      <c r="H137" s="2391"/>
      <c r="I137" s="2391"/>
      <c r="J137" s="2391"/>
      <c r="K137" s="2391"/>
      <c r="L137" s="2391"/>
      <c r="M137" s="2391"/>
      <c r="N137" s="2391"/>
      <c r="O137" s="2391"/>
      <c r="P137" s="2391"/>
      <c r="Q137" s="2385">
        <v>55</v>
      </c>
      <c r="R137" s="2385"/>
      <c r="S137" s="2385"/>
      <c r="T137" s="2387"/>
      <c r="U137" s="2387"/>
      <c r="V137" s="2387"/>
      <c r="W137" s="2387"/>
      <c r="X137" s="2387"/>
      <c r="Y137" s="2387"/>
      <c r="Z137" s="2387"/>
      <c r="AA137" s="2387"/>
      <c r="AB137" s="2389">
        <v>0</v>
      </c>
      <c r="AC137" s="2389"/>
      <c r="AD137" s="2389"/>
      <c r="AE137" s="2389"/>
      <c r="AF137" s="2389"/>
      <c r="AG137" s="2390"/>
      <c r="AH137" s="1204"/>
      <c r="AI137" s="1204"/>
      <c r="AJ137" s="1204"/>
      <c r="AK137" s="1204"/>
      <c r="AL137" s="1204"/>
      <c r="AM137" s="1204"/>
      <c r="AN137" s="1204"/>
      <c r="AO137" s="1204"/>
      <c r="AP137" s="1204"/>
      <c r="AQ137" s="1204"/>
      <c r="AR137" s="1204"/>
      <c r="AS137" s="1204"/>
      <c r="AT137" s="1204"/>
      <c r="AU137" s="1204"/>
      <c r="AV137" s="1204"/>
      <c r="AW137" s="1204"/>
      <c r="AX137" s="1204"/>
      <c r="AY137" s="1204"/>
      <c r="AZ137" s="1204"/>
      <c r="BA137" s="1204"/>
      <c r="BB137" s="1204"/>
      <c r="BC137" s="1204"/>
      <c r="BD137" s="1204"/>
      <c r="BE137" s="1210"/>
    </row>
    <row r="138" spans="1:57" ht="15.75" customHeight="1">
      <c r="A138" s="1204"/>
      <c r="B138" s="1204"/>
      <c r="C138" s="2383" t="s">
        <v>171</v>
      </c>
      <c r="D138" s="2384"/>
      <c r="E138" s="2384"/>
      <c r="F138" s="2391" t="s">
        <v>1917</v>
      </c>
      <c r="G138" s="2391"/>
      <c r="H138" s="2391"/>
      <c r="I138" s="2391"/>
      <c r="J138" s="2391"/>
      <c r="K138" s="2391"/>
      <c r="L138" s="2391"/>
      <c r="M138" s="2391"/>
      <c r="N138" s="2391"/>
      <c r="O138" s="2391"/>
      <c r="P138" s="2391"/>
      <c r="Q138" s="2385">
        <v>55</v>
      </c>
      <c r="R138" s="2385"/>
      <c r="S138" s="2385"/>
      <c r="T138" s="2387"/>
      <c r="U138" s="2387"/>
      <c r="V138" s="2387"/>
      <c r="W138" s="2387"/>
      <c r="X138" s="2387"/>
      <c r="Y138" s="2387"/>
      <c r="Z138" s="2387"/>
      <c r="AA138" s="2387"/>
      <c r="AB138" s="2389">
        <v>0</v>
      </c>
      <c r="AC138" s="2389"/>
      <c r="AD138" s="2389"/>
      <c r="AE138" s="2389"/>
      <c r="AF138" s="2389"/>
      <c r="AG138" s="2390"/>
      <c r="AH138" s="1204"/>
      <c r="AI138" s="1204"/>
      <c r="AJ138" s="1204"/>
      <c r="AK138" s="1204" t="s">
        <v>252</v>
      </c>
      <c r="AL138" s="1204"/>
      <c r="AM138" s="1204"/>
      <c r="AN138" s="1204"/>
      <c r="AO138" s="1204"/>
      <c r="AP138" s="1204"/>
      <c r="AQ138" s="1204"/>
      <c r="AR138" s="1204"/>
      <c r="AS138" s="1204"/>
      <c r="AT138" s="1204"/>
      <c r="AU138" s="1204"/>
      <c r="AV138" s="1204"/>
      <c r="AW138" s="1204"/>
      <c r="AX138" s="1204"/>
      <c r="AY138" s="1204"/>
      <c r="AZ138" s="1204"/>
      <c r="BA138" s="1204"/>
      <c r="BB138" s="1204"/>
      <c r="BC138" s="1204"/>
      <c r="BD138" s="1204"/>
      <c r="BE138" s="1210"/>
    </row>
    <row r="139" spans="1:57" ht="15.75" customHeight="1" thickBot="1">
      <c r="A139" s="1204"/>
      <c r="B139" s="1204"/>
      <c r="C139" s="2392" t="s">
        <v>171</v>
      </c>
      <c r="D139" s="2393"/>
      <c r="E139" s="2393"/>
      <c r="F139" s="2394" t="s">
        <v>1917</v>
      </c>
      <c r="G139" s="2394"/>
      <c r="H139" s="2394"/>
      <c r="I139" s="2394"/>
      <c r="J139" s="2394"/>
      <c r="K139" s="2394"/>
      <c r="L139" s="2394"/>
      <c r="M139" s="2394"/>
      <c r="N139" s="2394"/>
      <c r="O139" s="2394"/>
      <c r="P139" s="2394"/>
      <c r="Q139" s="2395">
        <v>55</v>
      </c>
      <c r="R139" s="2395"/>
      <c r="S139" s="2395"/>
      <c r="T139" s="2396"/>
      <c r="U139" s="2396"/>
      <c r="V139" s="2396"/>
      <c r="W139" s="2396"/>
      <c r="X139" s="2396"/>
      <c r="Y139" s="2396"/>
      <c r="Z139" s="2396"/>
      <c r="AA139" s="2396"/>
      <c r="AB139" s="2397">
        <v>0</v>
      </c>
      <c r="AC139" s="2397"/>
      <c r="AD139" s="2397"/>
      <c r="AE139" s="2397"/>
      <c r="AF139" s="2397"/>
      <c r="AG139" s="2398"/>
      <c r="AH139" s="1204"/>
      <c r="AI139" s="1204"/>
      <c r="AJ139" s="1204"/>
      <c r="AK139" s="1204"/>
      <c r="AL139" s="1204"/>
      <c r="AM139" s="1204"/>
      <c r="AN139" s="1204"/>
      <c r="AO139" s="1204"/>
      <c r="AP139" s="1204"/>
      <c r="AQ139" s="1204"/>
      <c r="AR139" s="1204"/>
      <c r="AS139" s="1204"/>
      <c r="AT139" s="1204"/>
      <c r="AU139" s="1204"/>
      <c r="AV139" s="1204"/>
      <c r="AW139" s="1204"/>
      <c r="AX139" s="1204"/>
      <c r="AY139" s="1204"/>
      <c r="AZ139" s="1204"/>
      <c r="BA139" s="1204"/>
      <c r="BB139" s="1204"/>
      <c r="BC139" s="1204"/>
      <c r="BD139" s="1204"/>
      <c r="BE139" s="1210"/>
    </row>
    <row r="140" spans="1:57" ht="15.75" customHeight="1" thickBot="1">
      <c r="A140" s="1204"/>
      <c r="B140" s="1204"/>
      <c r="C140" s="1204"/>
      <c r="D140" s="1204"/>
      <c r="E140" s="1204"/>
      <c r="F140" s="1204"/>
      <c r="G140" s="1204"/>
      <c r="H140" s="1204"/>
      <c r="I140" s="1204"/>
      <c r="J140" s="1204"/>
      <c r="K140" s="1204"/>
      <c r="L140" s="1204"/>
      <c r="M140" s="1204"/>
      <c r="N140" s="1204"/>
      <c r="O140" s="1204"/>
      <c r="P140" s="1204"/>
      <c r="Q140" s="1204"/>
      <c r="R140" s="1204"/>
      <c r="S140" s="1204"/>
      <c r="T140" s="1204"/>
      <c r="U140" s="1204"/>
      <c r="V140" s="1204"/>
      <c r="W140" s="1204"/>
      <c r="X140" s="1204"/>
      <c r="Y140" s="1204"/>
      <c r="Z140" s="1204"/>
      <c r="AA140" s="1204"/>
      <c r="AB140" s="1204"/>
      <c r="AC140" s="1204"/>
      <c r="AD140" s="1204"/>
      <c r="AE140" s="1204"/>
      <c r="AF140" s="1204"/>
      <c r="AG140" s="1204"/>
      <c r="AH140" s="1204"/>
      <c r="AI140" s="1204"/>
      <c r="AJ140" s="1204"/>
      <c r="AK140" s="1204"/>
      <c r="AL140" s="1204"/>
      <c r="AM140" s="1204"/>
      <c r="AN140" s="1204"/>
      <c r="AO140" s="1204"/>
      <c r="AP140" s="1204"/>
      <c r="AQ140" s="1204"/>
      <c r="AR140" s="1204"/>
      <c r="AS140" s="1204"/>
      <c r="AT140" s="1204"/>
      <c r="AU140" s="1204"/>
      <c r="AV140" s="1204"/>
      <c r="AW140" s="1204"/>
      <c r="AX140" s="1204"/>
      <c r="AY140" s="1204"/>
      <c r="AZ140" s="1204"/>
      <c r="BA140" s="1204"/>
      <c r="BB140" s="1204"/>
      <c r="BC140" s="1204"/>
      <c r="BD140" s="1204"/>
      <c r="BE140" s="1210"/>
    </row>
    <row r="141" spans="1:57" ht="15.75" customHeight="1">
      <c r="A141" s="1204"/>
      <c r="B141" s="1204"/>
      <c r="C141" s="2314" t="s">
        <v>1918</v>
      </c>
      <c r="D141" s="2315"/>
      <c r="E141" s="2315"/>
      <c r="F141" s="2315"/>
      <c r="G141" s="2315"/>
      <c r="H141" s="2315"/>
      <c r="I141" s="2315"/>
      <c r="J141" s="2315"/>
      <c r="K141" s="2315"/>
      <c r="L141" s="2315"/>
      <c r="M141" s="2315"/>
      <c r="N141" s="2351"/>
      <c r="O141" s="1204"/>
      <c r="P141" s="2370" t="s">
        <v>1919</v>
      </c>
      <c r="Q141" s="2371"/>
      <c r="R141" s="2371"/>
      <c r="S141" s="2371"/>
      <c r="T141" s="2371"/>
      <c r="U141" s="2371"/>
      <c r="V141" s="2371"/>
      <c r="W141" s="2371"/>
      <c r="X141" s="2371"/>
      <c r="Y141" s="2371"/>
      <c r="Z141" s="2371"/>
      <c r="AA141" s="2371"/>
      <c r="AB141" s="2371"/>
      <c r="AC141" s="2371"/>
      <c r="AD141" s="2371"/>
      <c r="AE141" s="2371"/>
      <c r="AF141" s="2371"/>
      <c r="AG141" s="2371"/>
      <c r="AH141" s="2371"/>
      <c r="AI141" s="2371"/>
      <c r="AJ141" s="2371"/>
      <c r="AK141" s="2371"/>
      <c r="AL141" s="2371"/>
      <c r="AM141" s="2371"/>
      <c r="AN141" s="2371"/>
      <c r="AO141" s="2400"/>
      <c r="AP141" s="1204"/>
      <c r="AQ141" s="1204"/>
      <c r="AR141" s="1204"/>
      <c r="AS141" s="1204"/>
      <c r="AT141" s="1204"/>
      <c r="AU141" s="1204"/>
      <c r="AV141" s="1204"/>
      <c r="AW141" s="1204"/>
      <c r="AX141" s="1204"/>
      <c r="AY141" s="1204"/>
      <c r="AZ141" s="1204"/>
      <c r="BA141" s="1204"/>
      <c r="BB141" s="1204"/>
      <c r="BC141" s="1204"/>
      <c r="BD141" s="1204"/>
      <c r="BE141" s="1210"/>
    </row>
    <row r="142" spans="1:57" ht="15.75" customHeight="1">
      <c r="A142" s="1204"/>
      <c r="B142" s="1204"/>
      <c r="C142" s="2354" t="s">
        <v>1920</v>
      </c>
      <c r="D142" s="2355"/>
      <c r="E142" s="2355"/>
      <c r="F142" s="2355"/>
      <c r="G142" s="2355"/>
      <c r="H142" s="2355"/>
      <c r="I142" s="2355" t="s">
        <v>1921</v>
      </c>
      <c r="J142" s="2355"/>
      <c r="K142" s="2355"/>
      <c r="L142" s="2355"/>
      <c r="M142" s="2355"/>
      <c r="N142" s="2388"/>
      <c r="O142" s="1204"/>
      <c r="P142" s="2318" t="s">
        <v>2760</v>
      </c>
      <c r="Q142" s="2319"/>
      <c r="R142" s="2319"/>
      <c r="S142" s="2319"/>
      <c r="T142" s="2319"/>
      <c r="U142" s="2319"/>
      <c r="V142" s="2319"/>
      <c r="W142" s="2319"/>
      <c r="X142" s="2319"/>
      <c r="Y142" s="2319"/>
      <c r="Z142" s="2319"/>
      <c r="AA142" s="2319"/>
      <c r="AB142" s="2319"/>
      <c r="AC142" s="2319"/>
      <c r="AD142" s="2319"/>
      <c r="AE142" s="2319"/>
      <c r="AF142" s="2319"/>
      <c r="AG142" s="2319"/>
      <c r="AH142" s="2319"/>
      <c r="AI142" s="2319"/>
      <c r="AJ142" s="2319"/>
      <c r="AK142" s="2319"/>
      <c r="AL142" s="2319"/>
      <c r="AM142" s="2319"/>
      <c r="AN142" s="2319"/>
      <c r="AO142" s="2320"/>
      <c r="AP142" s="1204"/>
      <c r="AQ142" s="1204"/>
      <c r="AR142" s="1204"/>
      <c r="AS142" s="1204"/>
      <c r="AT142" s="1204"/>
      <c r="AU142" s="1204"/>
      <c r="AV142" s="1204"/>
      <c r="AW142" s="1204"/>
      <c r="AX142" s="1204"/>
      <c r="AY142" s="1204"/>
      <c r="AZ142" s="1204"/>
      <c r="BA142" s="1204"/>
      <c r="BB142" s="1204"/>
      <c r="BC142" s="1204"/>
      <c r="BD142" s="1204"/>
      <c r="BE142" s="1210"/>
    </row>
    <row r="143" spans="1:57" ht="15.75" customHeight="1">
      <c r="A143" s="1204"/>
      <c r="B143" s="1204"/>
      <c r="C143" s="2324" t="s">
        <v>2758</v>
      </c>
      <c r="D143" s="2269"/>
      <c r="E143" s="2269"/>
      <c r="F143" s="2269"/>
      <c r="G143" s="2269"/>
      <c r="H143" s="2269"/>
      <c r="I143" s="2386">
        <v>44999</v>
      </c>
      <c r="J143" s="2386"/>
      <c r="K143" s="2386"/>
      <c r="L143" s="2386"/>
      <c r="M143" s="2386"/>
      <c r="N143" s="2399"/>
      <c r="O143" s="1204"/>
      <c r="P143" s="2318"/>
      <c r="Q143" s="2319"/>
      <c r="R143" s="2319"/>
      <c r="S143" s="2319"/>
      <c r="T143" s="2319"/>
      <c r="U143" s="2319"/>
      <c r="V143" s="2319"/>
      <c r="W143" s="2319"/>
      <c r="X143" s="2319"/>
      <c r="Y143" s="2319"/>
      <c r="Z143" s="2319"/>
      <c r="AA143" s="2319"/>
      <c r="AB143" s="2319"/>
      <c r="AC143" s="2319"/>
      <c r="AD143" s="2319"/>
      <c r="AE143" s="2319"/>
      <c r="AF143" s="2319"/>
      <c r="AG143" s="2319"/>
      <c r="AH143" s="2319"/>
      <c r="AI143" s="2319"/>
      <c r="AJ143" s="2319"/>
      <c r="AK143" s="2319"/>
      <c r="AL143" s="2319"/>
      <c r="AM143" s="2319"/>
      <c r="AN143" s="2319"/>
      <c r="AO143" s="2320"/>
      <c r="AP143" s="1204"/>
      <c r="AQ143" s="1204"/>
      <c r="AR143" s="1204"/>
      <c r="AS143" s="1204"/>
      <c r="AT143" s="1204"/>
      <c r="AU143" s="1204"/>
      <c r="AV143" s="1204"/>
      <c r="AW143" s="1204"/>
      <c r="AX143" s="1204"/>
      <c r="AY143" s="1204"/>
      <c r="AZ143" s="1204"/>
      <c r="BA143" s="1204"/>
      <c r="BB143" s="1204"/>
      <c r="BC143" s="1204"/>
      <c r="BD143" s="1204"/>
      <c r="BE143" s="1210"/>
    </row>
    <row r="144" spans="1:57" ht="15.75" customHeight="1">
      <c r="A144" s="1204"/>
      <c r="B144" s="1204"/>
      <c r="C144" s="2324" t="s">
        <v>2759</v>
      </c>
      <c r="D144" s="2269"/>
      <c r="E144" s="2269"/>
      <c r="F144" s="2269"/>
      <c r="G144" s="2269"/>
      <c r="H144" s="2269"/>
      <c r="I144" s="2386">
        <v>45002</v>
      </c>
      <c r="J144" s="2386"/>
      <c r="K144" s="2386"/>
      <c r="L144" s="2386"/>
      <c r="M144" s="2386"/>
      <c r="N144" s="2399"/>
      <c r="O144" s="1204"/>
      <c r="P144" s="2318"/>
      <c r="Q144" s="2319"/>
      <c r="R144" s="2319"/>
      <c r="S144" s="2319"/>
      <c r="T144" s="2319"/>
      <c r="U144" s="2319"/>
      <c r="V144" s="2319"/>
      <c r="W144" s="2319"/>
      <c r="X144" s="2319"/>
      <c r="Y144" s="2319"/>
      <c r="Z144" s="2319"/>
      <c r="AA144" s="2319"/>
      <c r="AB144" s="2319"/>
      <c r="AC144" s="2319"/>
      <c r="AD144" s="2319"/>
      <c r="AE144" s="2319"/>
      <c r="AF144" s="2319"/>
      <c r="AG144" s="2319"/>
      <c r="AH144" s="2319"/>
      <c r="AI144" s="2319"/>
      <c r="AJ144" s="2319"/>
      <c r="AK144" s="2319"/>
      <c r="AL144" s="2319"/>
      <c r="AM144" s="2319"/>
      <c r="AN144" s="2319"/>
      <c r="AO144" s="2320"/>
      <c r="AP144" s="1204"/>
      <c r="AQ144" s="1204"/>
      <c r="AR144" s="1204"/>
      <c r="AS144" s="1204"/>
      <c r="AT144" s="1204"/>
      <c r="AU144" s="1204"/>
      <c r="AV144" s="1204"/>
      <c r="AW144" s="1204"/>
      <c r="AX144" s="1204"/>
      <c r="AY144" s="1204"/>
      <c r="AZ144" s="1204"/>
      <c r="BA144" s="1204"/>
      <c r="BB144" s="1204"/>
      <c r="BC144" s="1204"/>
      <c r="BD144" s="1204"/>
      <c r="BE144" s="1210"/>
    </row>
    <row r="145" spans="1:57" ht="15.75" customHeight="1">
      <c r="A145" s="1204"/>
      <c r="B145" s="1204"/>
      <c r="C145" s="2324"/>
      <c r="D145" s="2269"/>
      <c r="E145" s="2269"/>
      <c r="F145" s="2269"/>
      <c r="G145" s="2269"/>
      <c r="H145" s="2269"/>
      <c r="I145" s="2386"/>
      <c r="J145" s="2386"/>
      <c r="K145" s="2386"/>
      <c r="L145" s="2386"/>
      <c r="M145" s="2386"/>
      <c r="N145" s="2399"/>
      <c r="O145" s="1204"/>
      <c r="P145" s="2318"/>
      <c r="Q145" s="2319"/>
      <c r="R145" s="2319"/>
      <c r="S145" s="2319"/>
      <c r="T145" s="2319"/>
      <c r="U145" s="2319"/>
      <c r="V145" s="2319"/>
      <c r="W145" s="2319"/>
      <c r="X145" s="2319"/>
      <c r="Y145" s="2319"/>
      <c r="Z145" s="2319"/>
      <c r="AA145" s="2319"/>
      <c r="AB145" s="2319"/>
      <c r="AC145" s="2319"/>
      <c r="AD145" s="2319"/>
      <c r="AE145" s="2319"/>
      <c r="AF145" s="2319"/>
      <c r="AG145" s="2319"/>
      <c r="AH145" s="2319"/>
      <c r="AI145" s="2319"/>
      <c r="AJ145" s="2319"/>
      <c r="AK145" s="2319"/>
      <c r="AL145" s="2319"/>
      <c r="AM145" s="2319"/>
      <c r="AN145" s="2319"/>
      <c r="AO145" s="2320"/>
      <c r="AP145" s="1204"/>
      <c r="AQ145" s="1204"/>
      <c r="AR145" s="1204"/>
      <c r="AS145" s="1204"/>
      <c r="AT145" s="1204"/>
      <c r="AU145" s="1204"/>
      <c r="AV145" s="1204"/>
      <c r="AW145" s="1204"/>
      <c r="AX145" s="1204"/>
      <c r="AY145" s="1204"/>
      <c r="AZ145" s="1204"/>
      <c r="BA145" s="1204"/>
      <c r="BB145" s="1204"/>
      <c r="BC145" s="1204"/>
      <c r="BD145" s="1204"/>
      <c r="BE145" s="1210"/>
    </row>
    <row r="146" spans="1:57" ht="15.75" customHeight="1">
      <c r="A146" s="1204"/>
      <c r="B146" s="1204"/>
      <c r="C146" s="2324"/>
      <c r="D146" s="2269"/>
      <c r="E146" s="2269"/>
      <c r="F146" s="2269"/>
      <c r="G146" s="2269"/>
      <c r="H146" s="2269"/>
      <c r="I146" s="2386"/>
      <c r="J146" s="2386"/>
      <c r="K146" s="2386"/>
      <c r="L146" s="2386"/>
      <c r="M146" s="2386"/>
      <c r="N146" s="2399"/>
      <c r="O146" s="1204"/>
      <c r="P146" s="2318"/>
      <c r="Q146" s="2319"/>
      <c r="R146" s="2319"/>
      <c r="S146" s="2319"/>
      <c r="T146" s="2319"/>
      <c r="U146" s="2319"/>
      <c r="V146" s="2319"/>
      <c r="W146" s="2319"/>
      <c r="X146" s="2319"/>
      <c r="Y146" s="2319"/>
      <c r="Z146" s="2319"/>
      <c r="AA146" s="2319"/>
      <c r="AB146" s="2319"/>
      <c r="AC146" s="2319"/>
      <c r="AD146" s="2319"/>
      <c r="AE146" s="2319"/>
      <c r="AF146" s="2319"/>
      <c r="AG146" s="2319"/>
      <c r="AH146" s="2319"/>
      <c r="AI146" s="2319"/>
      <c r="AJ146" s="2319"/>
      <c r="AK146" s="2319"/>
      <c r="AL146" s="2319"/>
      <c r="AM146" s="2319"/>
      <c r="AN146" s="2319"/>
      <c r="AO146" s="2320"/>
      <c r="AP146" s="1204"/>
      <c r="AQ146" s="1204"/>
      <c r="AR146" s="1204"/>
      <c r="AS146" s="1204"/>
      <c r="AT146" s="1204"/>
      <c r="AU146" s="1204"/>
      <c r="AV146" s="1204"/>
      <c r="AW146" s="1204"/>
      <c r="AX146" s="1204"/>
      <c r="AY146" s="1204"/>
      <c r="AZ146" s="1204"/>
      <c r="BA146" s="1204"/>
      <c r="BB146" s="1204"/>
      <c r="BC146" s="1204"/>
      <c r="BD146" s="1204"/>
      <c r="BE146" s="1210"/>
    </row>
    <row r="147" spans="1:57" ht="15.75" customHeight="1">
      <c r="A147" s="1204"/>
      <c r="B147" s="1204"/>
      <c r="C147" s="2324"/>
      <c r="D147" s="2269"/>
      <c r="E147" s="2269"/>
      <c r="F147" s="2269"/>
      <c r="G147" s="2269"/>
      <c r="H147" s="2269"/>
      <c r="I147" s="2386"/>
      <c r="J147" s="2386"/>
      <c r="K147" s="2386"/>
      <c r="L147" s="2386"/>
      <c r="M147" s="2386"/>
      <c r="N147" s="2399"/>
      <c r="O147" s="1204"/>
      <c r="P147" s="2318"/>
      <c r="Q147" s="2319"/>
      <c r="R147" s="2319"/>
      <c r="S147" s="2319"/>
      <c r="T147" s="2319"/>
      <c r="U147" s="2319"/>
      <c r="V147" s="2319"/>
      <c r="W147" s="2319"/>
      <c r="X147" s="2319"/>
      <c r="Y147" s="2319"/>
      <c r="Z147" s="2319"/>
      <c r="AA147" s="2319"/>
      <c r="AB147" s="2319"/>
      <c r="AC147" s="2319"/>
      <c r="AD147" s="2319"/>
      <c r="AE147" s="2319"/>
      <c r="AF147" s="2319"/>
      <c r="AG147" s="2319"/>
      <c r="AH147" s="2319"/>
      <c r="AI147" s="2319"/>
      <c r="AJ147" s="2319"/>
      <c r="AK147" s="2319"/>
      <c r="AL147" s="2319"/>
      <c r="AM147" s="2319"/>
      <c r="AN147" s="2319"/>
      <c r="AO147" s="2320"/>
      <c r="AP147" s="1204"/>
      <c r="AQ147" s="1204"/>
      <c r="AR147" s="1204"/>
      <c r="AS147" s="1204"/>
      <c r="AT147" s="1204"/>
      <c r="AU147" s="1204"/>
      <c r="AV147" s="1204"/>
      <c r="AW147" s="1204"/>
      <c r="AX147" s="1204"/>
      <c r="AY147" s="1204"/>
      <c r="AZ147" s="1204"/>
      <c r="BA147" s="1204"/>
      <c r="BB147" s="1204"/>
      <c r="BC147" s="1204"/>
      <c r="BD147" s="1204"/>
      <c r="BE147" s="1210"/>
    </row>
    <row r="148" spans="1:57" ht="15.75" customHeight="1">
      <c r="A148" s="1204"/>
      <c r="B148" s="1204"/>
      <c r="C148" s="2324"/>
      <c r="D148" s="2269"/>
      <c r="E148" s="2269"/>
      <c r="F148" s="2269"/>
      <c r="G148" s="2269"/>
      <c r="H148" s="2269"/>
      <c r="I148" s="2386"/>
      <c r="J148" s="2386"/>
      <c r="K148" s="2386"/>
      <c r="L148" s="2386"/>
      <c r="M148" s="2386"/>
      <c r="N148" s="2399"/>
      <c r="O148" s="1204"/>
      <c r="P148" s="2318"/>
      <c r="Q148" s="2319"/>
      <c r="R148" s="2319"/>
      <c r="S148" s="2319"/>
      <c r="T148" s="2319"/>
      <c r="U148" s="2319"/>
      <c r="V148" s="2319"/>
      <c r="W148" s="2319"/>
      <c r="X148" s="2319"/>
      <c r="Y148" s="2319"/>
      <c r="Z148" s="2319"/>
      <c r="AA148" s="2319"/>
      <c r="AB148" s="2319"/>
      <c r="AC148" s="2319"/>
      <c r="AD148" s="2319"/>
      <c r="AE148" s="2319"/>
      <c r="AF148" s="2319"/>
      <c r="AG148" s="2319"/>
      <c r="AH148" s="2319"/>
      <c r="AI148" s="2319"/>
      <c r="AJ148" s="2319"/>
      <c r="AK148" s="2319"/>
      <c r="AL148" s="2319"/>
      <c r="AM148" s="2319"/>
      <c r="AN148" s="2319"/>
      <c r="AO148" s="2320"/>
      <c r="AP148" s="1204"/>
      <c r="AQ148" s="1204"/>
      <c r="AR148" s="1204"/>
      <c r="AS148" s="1204"/>
      <c r="AT148" s="1204"/>
      <c r="AU148" s="1204"/>
      <c r="AV148" s="1204"/>
      <c r="AW148" s="1204"/>
      <c r="AX148" s="1204"/>
      <c r="AY148" s="1204"/>
      <c r="AZ148" s="1204"/>
      <c r="BA148" s="1204"/>
      <c r="BB148" s="1204"/>
      <c r="BC148" s="1204"/>
      <c r="BD148" s="1204"/>
      <c r="BE148" s="1210"/>
    </row>
    <row r="149" spans="1:57" ht="15.75" customHeight="1" thickBot="1">
      <c r="A149" s="1204"/>
      <c r="B149" s="1204"/>
      <c r="C149" s="2408"/>
      <c r="D149" s="2409"/>
      <c r="E149" s="2409"/>
      <c r="F149" s="2409"/>
      <c r="G149" s="2409"/>
      <c r="H149" s="2409"/>
      <c r="I149" s="2410"/>
      <c r="J149" s="2410"/>
      <c r="K149" s="2410"/>
      <c r="L149" s="2410"/>
      <c r="M149" s="2410"/>
      <c r="N149" s="2411"/>
      <c r="O149" s="1204"/>
      <c r="P149" s="2321"/>
      <c r="Q149" s="2322"/>
      <c r="R149" s="2322"/>
      <c r="S149" s="2322"/>
      <c r="T149" s="2322"/>
      <c r="U149" s="2322"/>
      <c r="V149" s="2322"/>
      <c r="W149" s="2322"/>
      <c r="X149" s="2322"/>
      <c r="Y149" s="2322"/>
      <c r="Z149" s="2322"/>
      <c r="AA149" s="2322"/>
      <c r="AB149" s="2322"/>
      <c r="AC149" s="2322"/>
      <c r="AD149" s="2322"/>
      <c r="AE149" s="2322"/>
      <c r="AF149" s="2322"/>
      <c r="AG149" s="2322"/>
      <c r="AH149" s="2322"/>
      <c r="AI149" s="2322"/>
      <c r="AJ149" s="2322"/>
      <c r="AK149" s="2322"/>
      <c r="AL149" s="2322"/>
      <c r="AM149" s="2322"/>
      <c r="AN149" s="2322"/>
      <c r="AO149" s="2323"/>
      <c r="AP149" s="1204"/>
      <c r="AQ149" s="1204"/>
      <c r="AR149" s="1204"/>
      <c r="AS149" s="1204"/>
      <c r="AT149" s="1204"/>
      <c r="AU149" s="1204"/>
      <c r="AV149" s="1204"/>
      <c r="AW149" s="1204"/>
      <c r="AX149" s="1204"/>
      <c r="AY149" s="1204"/>
      <c r="AZ149" s="1204"/>
      <c r="BA149" s="1204"/>
      <c r="BB149" s="1204"/>
      <c r="BC149" s="1204"/>
      <c r="BD149" s="1204"/>
      <c r="BE149" s="1210"/>
    </row>
    <row r="150" spans="1:57" ht="15.75" customHeight="1">
      <c r="A150" s="1204"/>
      <c r="B150" s="1204"/>
      <c r="C150" s="1204"/>
      <c r="D150" s="1204"/>
      <c r="E150" s="1204"/>
      <c r="F150" s="1204"/>
      <c r="G150" s="1204"/>
      <c r="H150" s="1204"/>
      <c r="I150" s="1204"/>
      <c r="J150" s="1204"/>
      <c r="K150" s="1204"/>
      <c r="L150" s="1204"/>
      <c r="M150" s="1204"/>
      <c r="N150" s="1204"/>
      <c r="O150" s="1204"/>
      <c r="P150" s="1204"/>
      <c r="Q150" s="1204"/>
      <c r="R150" s="1204"/>
      <c r="S150" s="1204"/>
      <c r="T150" s="1204"/>
      <c r="U150" s="1204"/>
      <c r="V150" s="1204"/>
      <c r="W150" s="1204"/>
      <c r="X150" s="1204"/>
      <c r="Y150" s="1204"/>
      <c r="Z150" s="1204"/>
      <c r="AA150" s="1204"/>
      <c r="AB150" s="1204"/>
      <c r="AC150" s="1204"/>
      <c r="AD150" s="1204"/>
      <c r="AE150" s="1204"/>
      <c r="AF150" s="1204"/>
      <c r="AG150" s="1204"/>
      <c r="AH150" s="1204"/>
      <c r="AI150" s="1204"/>
      <c r="AJ150" s="1204"/>
      <c r="AK150" s="1204"/>
      <c r="AL150" s="1204"/>
      <c r="AM150" s="1204"/>
      <c r="AN150" s="1204"/>
      <c r="AO150" s="1204"/>
      <c r="AP150" s="1204"/>
      <c r="AQ150" s="1204"/>
      <c r="AR150" s="1204"/>
      <c r="AS150" s="1204"/>
      <c r="AT150" s="1204"/>
      <c r="AU150" s="1204"/>
      <c r="AV150" s="1204"/>
      <c r="AW150" s="1204"/>
      <c r="AX150" s="1204"/>
      <c r="AY150" s="1204"/>
      <c r="AZ150" s="1204"/>
      <c r="BA150" s="1204"/>
      <c r="BB150" s="1204"/>
      <c r="BC150" s="1204"/>
      <c r="BD150" s="1204"/>
      <c r="BE150" s="1210"/>
    </row>
    <row r="151" spans="1:57" ht="15.75" customHeight="1" thickBot="1">
      <c r="A151" s="1204"/>
      <c r="B151" s="1204"/>
      <c r="C151" s="2412" t="s">
        <v>2591</v>
      </c>
      <c r="D151" s="2412"/>
      <c r="E151" s="2412"/>
      <c r="F151" s="2412"/>
      <c r="G151" s="2412"/>
      <c r="H151" s="2412"/>
      <c r="I151" s="2412"/>
      <c r="J151" s="2412"/>
      <c r="K151" s="2412"/>
      <c r="L151" s="2412"/>
      <c r="M151" s="2412"/>
      <c r="N151" s="2412"/>
      <c r="O151" s="2412"/>
      <c r="P151" s="2412"/>
      <c r="Q151" s="2412"/>
      <c r="R151" s="2412"/>
      <c r="S151" s="2412"/>
      <c r="T151" s="2412"/>
      <c r="U151" s="2412"/>
      <c r="V151" s="2412"/>
      <c r="W151" s="2412"/>
      <c r="X151" s="2412"/>
      <c r="Y151" s="2412"/>
      <c r="Z151" s="2412"/>
      <c r="AA151" s="2412"/>
      <c r="AB151" s="2412"/>
      <c r="AC151" s="2412"/>
      <c r="AD151" s="2412"/>
      <c r="AE151" s="2412"/>
      <c r="AF151" s="1204"/>
      <c r="AG151" s="1204"/>
      <c r="AH151" s="1204"/>
      <c r="AI151" s="1204" t="s">
        <v>252</v>
      </c>
      <c r="AJ151" s="1204"/>
      <c r="AK151" s="1204"/>
      <c r="AL151" s="1204"/>
      <c r="AM151" s="1204"/>
      <c r="AN151" s="1204"/>
      <c r="AO151" s="1204"/>
      <c r="AP151" s="1204"/>
      <c r="AQ151" s="1204"/>
      <c r="AR151" s="1204"/>
      <c r="AS151" s="1204"/>
      <c r="AT151" s="1204"/>
      <c r="AU151" s="1204"/>
      <c r="AV151" s="1204"/>
      <c r="AW151" s="1204"/>
      <c r="AX151" s="1204"/>
      <c r="AY151" s="1204"/>
      <c r="AZ151" s="1204"/>
      <c r="BA151" s="1204"/>
      <c r="BB151" s="1204"/>
      <c r="BC151" s="1204"/>
      <c r="BD151" s="1204"/>
      <c r="BE151" s="1210"/>
    </row>
    <row r="152" spans="1:57" ht="15.75" customHeight="1" thickBot="1">
      <c r="A152" s="1204"/>
      <c r="B152" s="1204"/>
      <c r="C152" s="2412"/>
      <c r="D152" s="2412"/>
      <c r="E152" s="2412"/>
      <c r="F152" s="2412"/>
      <c r="G152" s="2412"/>
      <c r="H152" s="2412"/>
      <c r="I152" s="2412"/>
      <c r="J152" s="2412"/>
      <c r="K152" s="2412"/>
      <c r="L152" s="2412"/>
      <c r="M152" s="2412"/>
      <c r="N152" s="2412"/>
      <c r="O152" s="2412"/>
      <c r="P152" s="2412"/>
      <c r="Q152" s="2412"/>
      <c r="R152" s="2412"/>
      <c r="S152" s="2412"/>
      <c r="T152" s="2412"/>
      <c r="U152" s="2412"/>
      <c r="V152" s="2412"/>
      <c r="W152" s="2412"/>
      <c r="X152" s="2412"/>
      <c r="Y152" s="2412"/>
      <c r="Z152" s="2412"/>
      <c r="AA152" s="2412"/>
      <c r="AB152" s="2412"/>
      <c r="AC152" s="2412"/>
      <c r="AD152" s="2412"/>
      <c r="AE152" s="2412"/>
      <c r="AF152" s="1204"/>
      <c r="AG152" s="1204"/>
      <c r="AH152" s="1224" t="s">
        <v>1923</v>
      </c>
      <c r="AI152" s="1225"/>
      <c r="AJ152" s="1225"/>
      <c r="AK152" s="1225"/>
      <c r="AL152" s="1225"/>
      <c r="AM152" s="1225"/>
      <c r="AN152" s="1225"/>
      <c r="AO152" s="1225"/>
      <c r="AP152" s="1225"/>
      <c r="AQ152" s="1225"/>
      <c r="AR152" s="1226"/>
      <c r="AS152" s="1227">
        <f>'Sources and Uses Budget'!H99</f>
        <v>4659545</v>
      </c>
      <c r="AT152" s="1228"/>
      <c r="AU152" s="1228"/>
      <c r="AV152" s="1228"/>
      <c r="AW152" s="1229"/>
      <c r="AX152" s="1204"/>
      <c r="AY152" s="1204"/>
      <c r="AZ152" s="1204"/>
      <c r="BA152" s="1204"/>
      <c r="BB152" s="1204"/>
      <c r="BC152" s="1204"/>
      <c r="BD152" s="1204"/>
      <c r="BE152" s="1210"/>
    </row>
    <row r="153" spans="1:57" ht="15.75" customHeight="1">
      <c r="A153" s="1204"/>
      <c r="B153" s="1204"/>
      <c r="C153" s="2314" t="s">
        <v>1911</v>
      </c>
      <c r="D153" s="2315"/>
      <c r="E153" s="2315"/>
      <c r="F153" s="2315"/>
      <c r="G153" s="2315"/>
      <c r="H153" s="2315"/>
      <c r="I153" s="2315"/>
      <c r="J153" s="2315"/>
      <c r="K153" s="2315"/>
      <c r="L153" s="2315"/>
      <c r="M153" s="2315"/>
      <c r="N153" s="2315" t="s">
        <v>1922</v>
      </c>
      <c r="O153" s="2315"/>
      <c r="P153" s="2315"/>
      <c r="Q153" s="2315"/>
      <c r="R153" s="2315"/>
      <c r="S153" s="2315"/>
      <c r="T153" s="2315"/>
      <c r="U153" s="2238" t="s">
        <v>1911</v>
      </c>
      <c r="V153" s="2238"/>
      <c r="W153" s="2238"/>
      <c r="X153" s="2238"/>
      <c r="Y153" s="2238"/>
      <c r="Z153" s="2238"/>
      <c r="AA153" s="2238"/>
      <c r="AB153" s="2238"/>
      <c r="AC153" s="2238"/>
      <c r="AD153" s="2238"/>
      <c r="AE153" s="2239"/>
      <c r="AF153" s="1204"/>
      <c r="AG153" s="1204"/>
      <c r="AH153" s="1230" t="s">
        <v>1924</v>
      </c>
      <c r="AI153" s="1231"/>
      <c r="AJ153" s="1231"/>
      <c r="AK153" s="1231"/>
      <c r="AL153" s="1231"/>
      <c r="AM153" s="1231"/>
      <c r="AN153" s="1231"/>
      <c r="AO153" s="1231"/>
      <c r="AP153" s="1231"/>
      <c r="AQ153" s="1231"/>
      <c r="AR153" s="1232"/>
      <c r="AS153" s="1233">
        <v>0</v>
      </c>
      <c r="AT153" s="1234"/>
      <c r="AU153" s="1234"/>
      <c r="AV153" s="1234"/>
      <c r="AW153" s="1235"/>
      <c r="AX153" s="1204"/>
      <c r="AY153" s="1204"/>
      <c r="AZ153" s="1204"/>
      <c r="BA153" s="1204"/>
      <c r="BB153" s="1204"/>
      <c r="BC153" s="1204"/>
      <c r="BD153" s="1204"/>
      <c r="BE153" s="1210"/>
    </row>
    <row r="154" spans="1:57" ht="15.75" customHeight="1">
      <c r="A154" s="1204"/>
      <c r="B154" s="1204"/>
      <c r="C154" s="2401" t="s">
        <v>2592</v>
      </c>
      <c r="D154" s="2402"/>
      <c r="E154" s="2402"/>
      <c r="F154" s="2402"/>
      <c r="G154" s="2402"/>
      <c r="H154" s="2402"/>
      <c r="I154" s="2402"/>
      <c r="J154" s="2402"/>
      <c r="K154" s="2402"/>
      <c r="L154" s="2402"/>
      <c r="M154" s="2402"/>
      <c r="N154" s="2403">
        <f>'Sources and Uses Budget'!B105</f>
        <v>72409545</v>
      </c>
      <c r="O154" s="2403"/>
      <c r="P154" s="2403"/>
      <c r="Q154" s="2403"/>
      <c r="R154" s="2403"/>
      <c r="S154" s="2403"/>
      <c r="T154" s="2403"/>
      <c r="U154" s="2404"/>
      <c r="V154" s="2404"/>
      <c r="W154" s="2404"/>
      <c r="X154" s="2404"/>
      <c r="Y154" s="2404"/>
      <c r="Z154" s="2404"/>
      <c r="AA154" s="2404"/>
      <c r="AB154" s="2404"/>
      <c r="AC154" s="2404"/>
      <c r="AD154" s="2404"/>
      <c r="AE154" s="2405"/>
      <c r="AF154" s="1204"/>
      <c r="AG154" s="1204"/>
      <c r="AH154" s="1230" t="s">
        <v>2593</v>
      </c>
      <c r="AI154" s="1231"/>
      <c r="AJ154" s="1231"/>
      <c r="AK154" s="1231"/>
      <c r="AL154" s="1231"/>
      <c r="AM154" s="1231"/>
      <c r="AN154" s="1231"/>
      <c r="AO154" s="1231"/>
      <c r="AP154" s="1231"/>
      <c r="AQ154" s="1231"/>
      <c r="AR154" s="1232"/>
      <c r="AS154" s="1233">
        <f>'Sources and Uses Budget'!E99</f>
        <v>2840455</v>
      </c>
      <c r="AT154" s="1234"/>
      <c r="AU154" s="1234"/>
      <c r="AV154" s="1234"/>
      <c r="AW154" s="1235"/>
      <c r="AX154" s="1204"/>
      <c r="AY154" s="1204"/>
      <c r="AZ154" s="1204"/>
      <c r="BA154" s="1204"/>
      <c r="BB154" s="1204"/>
      <c r="BC154" s="1204"/>
      <c r="BD154" s="1204"/>
      <c r="BE154" s="1210"/>
    </row>
    <row r="155" spans="1:57" ht="15.75" customHeight="1">
      <c r="A155" s="1204"/>
      <c r="B155" s="1204"/>
      <c r="C155" s="2401" t="s">
        <v>2594</v>
      </c>
      <c r="D155" s="2402"/>
      <c r="E155" s="2402"/>
      <c r="F155" s="2402"/>
      <c r="G155" s="2402"/>
      <c r="H155" s="2402"/>
      <c r="I155" s="2402"/>
      <c r="J155" s="2402"/>
      <c r="K155" s="2402"/>
      <c r="L155" s="2402"/>
      <c r="M155" s="2402"/>
      <c r="N155" s="2403">
        <f>N154/J29</f>
        <v>369436.45408163266</v>
      </c>
      <c r="O155" s="2403"/>
      <c r="P155" s="2403"/>
      <c r="Q155" s="2403"/>
      <c r="R155" s="2403"/>
      <c r="S155" s="2403"/>
      <c r="T155" s="2403"/>
      <c r="U155" s="1236"/>
      <c r="V155" s="1236"/>
      <c r="W155" s="1236"/>
      <c r="X155" s="1236"/>
      <c r="Y155" s="1236"/>
      <c r="Z155" s="1236"/>
      <c r="AA155" s="1236"/>
      <c r="AB155" s="1236"/>
      <c r="AC155" s="1236"/>
      <c r="AD155" s="1236"/>
      <c r="AE155" s="1237"/>
      <c r="AF155" s="1204"/>
      <c r="AG155" s="1204"/>
      <c r="AH155" s="1238"/>
      <c r="AI155" s="1239"/>
      <c r="AJ155" s="1239"/>
      <c r="AK155" s="1239"/>
      <c r="AL155" s="1239"/>
      <c r="AM155" s="1239"/>
      <c r="AN155" s="1239"/>
      <c r="AO155" s="1239"/>
      <c r="AP155" s="1239"/>
      <c r="AQ155" s="1239"/>
      <c r="AR155" s="1240"/>
      <c r="AS155" s="1241"/>
      <c r="AT155" s="1242"/>
      <c r="AU155" s="1242"/>
      <c r="AV155" s="1242"/>
      <c r="AW155" s="1243"/>
      <c r="AX155" s="1204"/>
      <c r="AY155" s="1204"/>
      <c r="AZ155" s="1204"/>
      <c r="BA155" s="1204"/>
      <c r="BB155" s="1204"/>
      <c r="BC155" s="1204"/>
      <c r="BD155" s="1204"/>
      <c r="BE155" s="1210"/>
    </row>
    <row r="156" spans="1:57" ht="15.75" customHeight="1" thickBot="1">
      <c r="A156" s="1204"/>
      <c r="B156" s="1204"/>
      <c r="C156" s="2406" t="s">
        <v>2595</v>
      </c>
      <c r="D156" s="2407"/>
      <c r="E156" s="2407"/>
      <c r="F156" s="2407"/>
      <c r="G156" s="2407"/>
      <c r="H156" s="2407"/>
      <c r="I156" s="2407"/>
      <c r="J156" s="2407"/>
      <c r="K156" s="2407"/>
      <c r="L156" s="2407"/>
      <c r="M156" s="2407"/>
      <c r="N156" s="2308">
        <v>0</v>
      </c>
      <c r="O156" s="2308"/>
      <c r="P156" s="2308"/>
      <c r="Q156" s="2308"/>
      <c r="R156" s="2308"/>
      <c r="S156" s="2308"/>
      <c r="T156" s="2308"/>
      <c r="U156" s="2281"/>
      <c r="V156" s="2281"/>
      <c r="W156" s="2281"/>
      <c r="X156" s="2281"/>
      <c r="Y156" s="2281"/>
      <c r="Z156" s="2281"/>
      <c r="AA156" s="2281"/>
      <c r="AB156" s="2281"/>
      <c r="AC156" s="2281"/>
      <c r="AD156" s="2281"/>
      <c r="AE156" s="2282"/>
      <c r="AF156" s="1204"/>
      <c r="AG156" s="1204"/>
      <c r="AH156" s="2413" t="s">
        <v>2266</v>
      </c>
      <c r="AI156" s="2414"/>
      <c r="AJ156" s="2414"/>
      <c r="AK156" s="2414"/>
      <c r="AL156" s="2414"/>
      <c r="AM156" s="2414"/>
      <c r="AN156" s="2414"/>
      <c r="AO156" s="2414"/>
      <c r="AP156" s="2414"/>
      <c r="AQ156" s="2414"/>
      <c r="AR156" s="2414"/>
      <c r="AS156" s="2415">
        <f>SUM(AS152:AW154)</f>
        <v>7500000</v>
      </c>
      <c r="AT156" s="2415"/>
      <c r="AU156" s="2415"/>
      <c r="AV156" s="2415"/>
      <c r="AW156" s="2416"/>
      <c r="AX156" s="1204"/>
      <c r="AY156" s="1204"/>
      <c r="AZ156" s="1204"/>
      <c r="BA156" s="1204"/>
      <c r="BB156" s="1204"/>
      <c r="BC156" s="1204"/>
      <c r="BD156" s="1204"/>
      <c r="BE156" s="1210"/>
    </row>
    <row r="157" spans="1:57" ht="15.75" customHeight="1" thickBot="1">
      <c r="A157" s="1204"/>
      <c r="B157" s="1204"/>
      <c r="C157" s="2401" t="s">
        <v>2596</v>
      </c>
      <c r="D157" s="2402"/>
      <c r="E157" s="2402"/>
      <c r="F157" s="2402"/>
      <c r="G157" s="2402"/>
      <c r="H157" s="2402"/>
      <c r="I157" s="2402"/>
      <c r="J157" s="2402"/>
      <c r="K157" s="2402"/>
      <c r="L157" s="2402"/>
      <c r="M157" s="2402"/>
      <c r="N157" s="2417">
        <f>SUM('Sources and Uses Budget'!B85:B86)</f>
        <v>4900000</v>
      </c>
      <c r="O157" s="2417"/>
      <c r="P157" s="2417"/>
      <c r="Q157" s="2417"/>
      <c r="R157" s="2417"/>
      <c r="S157" s="2417"/>
      <c r="T157" s="2417"/>
      <c r="U157" s="2281"/>
      <c r="V157" s="2281"/>
      <c r="W157" s="2281"/>
      <c r="X157" s="2281"/>
      <c r="Y157" s="2281"/>
      <c r="Z157" s="2281"/>
      <c r="AA157" s="2281"/>
      <c r="AB157" s="2281"/>
      <c r="AC157" s="2281"/>
      <c r="AD157" s="2281"/>
      <c r="AE157" s="2282"/>
      <c r="AF157" s="1204"/>
      <c r="AG157" s="1204"/>
      <c r="AH157" s="1244" t="s">
        <v>2597</v>
      </c>
      <c r="AI157" s="1204"/>
      <c r="AJ157" s="1204"/>
      <c r="AK157" s="1204"/>
      <c r="AL157" s="1204"/>
      <c r="AM157" s="1204"/>
      <c r="AN157" s="1204"/>
      <c r="AO157" s="1204"/>
      <c r="AP157" s="1204"/>
      <c r="AQ157" s="1204"/>
      <c r="AR157" s="1204"/>
      <c r="AS157" s="1204"/>
      <c r="AT157" s="1204"/>
      <c r="AU157" s="1204"/>
      <c r="AV157" s="1204"/>
      <c r="AW157" s="1204"/>
      <c r="AX157" s="1204"/>
      <c r="AY157" s="1204"/>
      <c r="AZ157" s="1204"/>
      <c r="BA157" s="1204"/>
      <c r="BB157" s="1204"/>
      <c r="BC157" s="1204"/>
      <c r="BD157" s="1204"/>
      <c r="BE157" s="1210"/>
    </row>
    <row r="158" spans="1:57" ht="15.75" customHeight="1">
      <c r="A158" s="1204"/>
      <c r="B158" s="1204"/>
      <c r="C158" s="2401" t="s">
        <v>2598</v>
      </c>
      <c r="D158" s="2402"/>
      <c r="E158" s="2402"/>
      <c r="F158" s="2402"/>
      <c r="G158" s="2402"/>
      <c r="H158" s="2402"/>
      <c r="I158" s="2402"/>
      <c r="J158" s="2402"/>
      <c r="K158" s="2402"/>
      <c r="L158" s="2402"/>
      <c r="M158" s="2402"/>
      <c r="N158" s="2417">
        <f>'Sources and Uses Budget'!B8</f>
        <v>2577320</v>
      </c>
      <c r="O158" s="2417"/>
      <c r="P158" s="2417"/>
      <c r="Q158" s="2417"/>
      <c r="R158" s="2417"/>
      <c r="S158" s="2417"/>
      <c r="T158" s="2417"/>
      <c r="U158" s="2281"/>
      <c r="V158" s="2281"/>
      <c r="W158" s="2281"/>
      <c r="X158" s="2281"/>
      <c r="Y158" s="2281"/>
      <c r="Z158" s="2281"/>
      <c r="AA158" s="2281"/>
      <c r="AB158" s="2281"/>
      <c r="AC158" s="2281"/>
      <c r="AD158" s="2281"/>
      <c r="AE158" s="2282"/>
      <c r="AF158" s="1204"/>
      <c r="AG158" s="1204"/>
      <c r="AH158" s="2418" t="s">
        <v>2599</v>
      </c>
      <c r="AI158" s="2419"/>
      <c r="AJ158" s="2419"/>
      <c r="AK158" s="2419"/>
      <c r="AL158" s="2419"/>
      <c r="AM158" s="2419"/>
      <c r="AN158" s="2419"/>
      <c r="AO158" s="2419"/>
      <c r="AP158" s="2419"/>
      <c r="AQ158" s="2419"/>
      <c r="AR158" s="2420"/>
      <c r="AS158" s="2424" t="s">
        <v>2600</v>
      </c>
      <c r="AT158" s="2425"/>
      <c r="AU158" s="2425"/>
      <c r="AV158" s="2425"/>
      <c r="AW158" s="2425"/>
      <c r="AX158" s="2426"/>
      <c r="AY158" s="2425" t="s">
        <v>2601</v>
      </c>
      <c r="AZ158" s="2425"/>
      <c r="BA158" s="2425"/>
      <c r="BB158" s="2425"/>
      <c r="BC158" s="2425"/>
      <c r="BD158" s="2430"/>
      <c r="BE158" s="1210"/>
    </row>
    <row r="159" spans="1:57" ht="15.75" customHeight="1">
      <c r="A159" s="1204"/>
      <c r="B159" s="1204"/>
      <c r="C159" s="2401" t="s">
        <v>2602</v>
      </c>
      <c r="D159" s="2402"/>
      <c r="E159" s="2402"/>
      <c r="F159" s="2402"/>
      <c r="G159" s="2402"/>
      <c r="H159" s="2402"/>
      <c r="I159" s="2402"/>
      <c r="J159" s="2402"/>
      <c r="K159" s="2402"/>
      <c r="L159" s="2402"/>
      <c r="M159" s="2402"/>
      <c r="N159" s="2432">
        <v>0</v>
      </c>
      <c r="O159" s="2432"/>
      <c r="P159" s="2432"/>
      <c r="Q159" s="2432"/>
      <c r="R159" s="2432"/>
      <c r="S159" s="2432"/>
      <c r="T159" s="2432"/>
      <c r="U159" s="2281"/>
      <c r="V159" s="2281"/>
      <c r="W159" s="2281"/>
      <c r="X159" s="2281"/>
      <c r="Y159" s="2281"/>
      <c r="Z159" s="2281"/>
      <c r="AA159" s="2281"/>
      <c r="AB159" s="2281"/>
      <c r="AC159" s="2281"/>
      <c r="AD159" s="2281"/>
      <c r="AE159" s="2282"/>
      <c r="AF159" s="1204"/>
      <c r="AG159" s="1204"/>
      <c r="AH159" s="2421"/>
      <c r="AI159" s="2422"/>
      <c r="AJ159" s="2422"/>
      <c r="AK159" s="2422"/>
      <c r="AL159" s="2422"/>
      <c r="AM159" s="2422"/>
      <c r="AN159" s="2422"/>
      <c r="AO159" s="2422"/>
      <c r="AP159" s="2422"/>
      <c r="AQ159" s="2422"/>
      <c r="AR159" s="2423"/>
      <c r="AS159" s="2427"/>
      <c r="AT159" s="2428"/>
      <c r="AU159" s="2428"/>
      <c r="AV159" s="2428"/>
      <c r="AW159" s="2428"/>
      <c r="AX159" s="2429"/>
      <c r="AY159" s="2428"/>
      <c r="AZ159" s="2428"/>
      <c r="BA159" s="2428"/>
      <c r="BB159" s="2428"/>
      <c r="BC159" s="2428"/>
      <c r="BD159" s="2431"/>
      <c r="BE159" s="1210"/>
    </row>
    <row r="160" spans="1:57" ht="15.75" customHeight="1">
      <c r="A160" s="1204"/>
      <c r="B160" s="1204"/>
      <c r="C160" s="2401" t="s">
        <v>2603</v>
      </c>
      <c r="D160" s="2402"/>
      <c r="E160" s="2402"/>
      <c r="F160" s="2402"/>
      <c r="G160" s="2402"/>
      <c r="H160" s="2402"/>
      <c r="I160" s="2402"/>
      <c r="J160" s="2402"/>
      <c r="K160" s="2402"/>
      <c r="L160" s="2402"/>
      <c r="M160" s="2402"/>
      <c r="N160" s="2432">
        <v>0</v>
      </c>
      <c r="O160" s="2432"/>
      <c r="P160" s="2432"/>
      <c r="Q160" s="2432"/>
      <c r="R160" s="2432"/>
      <c r="S160" s="2432"/>
      <c r="T160" s="2432"/>
      <c r="U160" s="2281"/>
      <c r="V160" s="2281"/>
      <c r="W160" s="2281"/>
      <c r="X160" s="2281"/>
      <c r="Y160" s="2281"/>
      <c r="Z160" s="2281"/>
      <c r="AA160" s="2281"/>
      <c r="AB160" s="2281"/>
      <c r="AC160" s="2281"/>
      <c r="AD160" s="2281"/>
      <c r="AE160" s="2282"/>
      <c r="AF160" s="1204"/>
      <c r="AG160" s="1204"/>
      <c r="AH160" s="2433" t="s">
        <v>2267</v>
      </c>
      <c r="AI160" s="2434"/>
      <c r="AJ160" s="2434"/>
      <c r="AK160" s="2434"/>
      <c r="AL160" s="2434"/>
      <c r="AM160" s="2434"/>
      <c r="AN160" s="2434"/>
      <c r="AO160" s="2434"/>
      <c r="AP160" s="2434"/>
      <c r="AQ160" s="2434"/>
      <c r="AR160" s="2434"/>
      <c r="AS160" s="2435">
        <v>5890000</v>
      </c>
      <c r="AT160" s="2435"/>
      <c r="AU160" s="2435"/>
      <c r="AV160" s="2435"/>
      <c r="AW160" s="2435"/>
      <c r="AX160" s="2435"/>
      <c r="AY160" s="2435">
        <v>600000</v>
      </c>
      <c r="AZ160" s="2435"/>
      <c r="BA160" s="2435"/>
      <c r="BB160" s="2435"/>
      <c r="BC160" s="2435"/>
      <c r="BD160" s="2436"/>
      <c r="BE160" s="1210"/>
    </row>
    <row r="161" spans="1:57" ht="15.75" customHeight="1">
      <c r="A161" s="1204"/>
      <c r="B161" s="1204"/>
      <c r="C161" s="2438" t="s">
        <v>302</v>
      </c>
      <c r="D161" s="2385"/>
      <c r="E161" s="2437" t="s">
        <v>1917</v>
      </c>
      <c r="F161" s="2437"/>
      <c r="G161" s="2437"/>
      <c r="H161" s="2437"/>
      <c r="I161" s="2437"/>
      <c r="J161" s="2437"/>
      <c r="K161" s="2437"/>
      <c r="L161" s="2437"/>
      <c r="M161" s="2437"/>
      <c r="N161" s="2432">
        <v>0</v>
      </c>
      <c r="O161" s="2432"/>
      <c r="P161" s="2432"/>
      <c r="Q161" s="2432"/>
      <c r="R161" s="2432"/>
      <c r="S161" s="2432"/>
      <c r="T161" s="2432"/>
      <c r="U161" s="2281"/>
      <c r="V161" s="2281"/>
      <c r="W161" s="2281"/>
      <c r="X161" s="2281"/>
      <c r="Y161" s="2281"/>
      <c r="Z161" s="2281"/>
      <c r="AA161" s="2281"/>
      <c r="AB161" s="2281"/>
      <c r="AC161" s="2281"/>
      <c r="AD161" s="2281"/>
      <c r="AE161" s="2282"/>
      <c r="AF161" s="1204"/>
      <c r="AG161" s="1204"/>
      <c r="AH161" s="2433" t="s">
        <v>2268</v>
      </c>
      <c r="AI161" s="2434"/>
      <c r="AJ161" s="2434"/>
      <c r="AK161" s="2434"/>
      <c r="AL161" s="2434"/>
      <c r="AM161" s="2434"/>
      <c r="AN161" s="2434"/>
      <c r="AO161" s="2434"/>
      <c r="AP161" s="2434"/>
      <c r="AQ161" s="2434"/>
      <c r="AR161" s="2434"/>
      <c r="AS161" s="2435">
        <v>8835000</v>
      </c>
      <c r="AT161" s="2435"/>
      <c r="AU161" s="2435"/>
      <c r="AV161" s="2435"/>
      <c r="AW161" s="2435"/>
      <c r="AX161" s="2435"/>
      <c r="AY161" s="2435">
        <v>0</v>
      </c>
      <c r="AZ161" s="2435"/>
      <c r="BA161" s="2435"/>
      <c r="BB161" s="2435"/>
      <c r="BC161" s="2435"/>
      <c r="BD161" s="2436"/>
      <c r="BE161" s="1210"/>
    </row>
    <row r="162" spans="1:57" ht="15.75" customHeight="1">
      <c r="A162" s="1204"/>
      <c r="B162" s="1204"/>
      <c r="C162" s="2324" t="s">
        <v>302</v>
      </c>
      <c r="D162" s="2269"/>
      <c r="E162" s="2437" t="s">
        <v>1917</v>
      </c>
      <c r="F162" s="2437"/>
      <c r="G162" s="2437"/>
      <c r="H162" s="2437"/>
      <c r="I162" s="2437"/>
      <c r="J162" s="2437"/>
      <c r="K162" s="2437"/>
      <c r="L162" s="2437"/>
      <c r="M162" s="2437"/>
      <c r="N162" s="2432">
        <v>0</v>
      </c>
      <c r="O162" s="2432"/>
      <c r="P162" s="2432"/>
      <c r="Q162" s="2432"/>
      <c r="R162" s="2432"/>
      <c r="S162" s="2432"/>
      <c r="T162" s="2432"/>
      <c r="U162" s="2281"/>
      <c r="V162" s="2281"/>
      <c r="W162" s="2281"/>
      <c r="X162" s="2281"/>
      <c r="Y162" s="2281"/>
      <c r="Z162" s="2281"/>
      <c r="AA162" s="2281"/>
      <c r="AB162" s="2281"/>
      <c r="AC162" s="2281"/>
      <c r="AD162" s="2281"/>
      <c r="AE162" s="2282"/>
      <c r="AF162" s="1204"/>
      <c r="AG162" s="1204"/>
      <c r="AH162" s="2433" t="s">
        <v>2269</v>
      </c>
      <c r="AI162" s="2434"/>
      <c r="AJ162" s="2434"/>
      <c r="AK162" s="2434"/>
      <c r="AL162" s="2434"/>
      <c r="AM162" s="2434"/>
      <c r="AN162" s="2434"/>
      <c r="AO162" s="2434"/>
      <c r="AP162" s="2434"/>
      <c r="AQ162" s="2434"/>
      <c r="AR162" s="2434"/>
      <c r="AS162" s="2435">
        <f>39200000-AS160-AS161-AS163</f>
        <v>23002500</v>
      </c>
      <c r="AT162" s="2435"/>
      <c r="AU162" s="2435"/>
      <c r="AV162" s="2435"/>
      <c r="AW162" s="2435"/>
      <c r="AX162" s="2435"/>
      <c r="AY162" s="2435">
        <f>'[5]Sources and Uses Budget'!E99-'[5]CalHFA Addendum'!AY160</f>
        <v>2240455</v>
      </c>
      <c r="AZ162" s="2435"/>
      <c r="BA162" s="2435"/>
      <c r="BB162" s="2435"/>
      <c r="BC162" s="2435"/>
      <c r="BD162" s="2436"/>
      <c r="BE162" s="1210"/>
    </row>
    <row r="163" spans="1:57" ht="15.75" customHeight="1" thickBot="1">
      <c r="A163" s="1204"/>
      <c r="B163" s="1204"/>
      <c r="C163" s="2443" t="s">
        <v>302</v>
      </c>
      <c r="D163" s="2444"/>
      <c r="E163" s="2445" t="s">
        <v>1917</v>
      </c>
      <c r="F163" s="2445"/>
      <c r="G163" s="2445"/>
      <c r="H163" s="2445"/>
      <c r="I163" s="2445"/>
      <c r="J163" s="2445"/>
      <c r="K163" s="2445"/>
      <c r="L163" s="2445"/>
      <c r="M163" s="2446"/>
      <c r="N163" s="2447">
        <v>0</v>
      </c>
      <c r="O163" s="2447"/>
      <c r="P163" s="2447"/>
      <c r="Q163" s="2447"/>
      <c r="R163" s="2447"/>
      <c r="S163" s="2447"/>
      <c r="T163" s="2448"/>
      <c r="U163" s="2449"/>
      <c r="V163" s="2450"/>
      <c r="W163" s="2450"/>
      <c r="X163" s="2450"/>
      <c r="Y163" s="2450"/>
      <c r="Z163" s="2450"/>
      <c r="AA163" s="2450"/>
      <c r="AB163" s="2450"/>
      <c r="AC163" s="2450"/>
      <c r="AD163" s="2450"/>
      <c r="AE163" s="2451"/>
      <c r="AF163" s="1204"/>
      <c r="AG163" s="1204"/>
      <c r="AH163" s="2433" t="s">
        <v>2270</v>
      </c>
      <c r="AI163" s="2434"/>
      <c r="AJ163" s="2434"/>
      <c r="AK163" s="2434"/>
      <c r="AL163" s="2434"/>
      <c r="AM163" s="2434"/>
      <c r="AN163" s="2434"/>
      <c r="AO163" s="2434"/>
      <c r="AP163" s="2434"/>
      <c r="AQ163" s="2434"/>
      <c r="AR163" s="2434"/>
      <c r="AS163" s="2435">
        <v>1472500</v>
      </c>
      <c r="AT163" s="2435"/>
      <c r="AU163" s="2435"/>
      <c r="AV163" s="2435"/>
      <c r="AW163" s="2435"/>
      <c r="AX163" s="2435"/>
      <c r="AY163" s="2435">
        <v>0</v>
      </c>
      <c r="AZ163" s="2435"/>
      <c r="BA163" s="2435"/>
      <c r="BB163" s="2435"/>
      <c r="BC163" s="2435"/>
      <c r="BD163" s="2436"/>
      <c r="BE163" s="1210"/>
    </row>
    <row r="164" spans="1:57" ht="15.75" customHeight="1">
      <c r="A164" s="1204"/>
      <c r="B164" s="1204"/>
      <c r="C164" s="2439" t="s">
        <v>1925</v>
      </c>
      <c r="D164" s="2440"/>
      <c r="E164" s="2440"/>
      <c r="F164" s="2440"/>
      <c r="G164" s="2440"/>
      <c r="H164" s="2440"/>
      <c r="I164" s="2440"/>
      <c r="J164" s="2440"/>
      <c r="K164" s="2440"/>
      <c r="L164" s="2440"/>
      <c r="M164" s="2440"/>
      <c r="N164" s="2441">
        <f>SUM(N156:T163)</f>
        <v>7477320</v>
      </c>
      <c r="O164" s="2441"/>
      <c r="P164" s="2441"/>
      <c r="Q164" s="2441"/>
      <c r="R164" s="2441"/>
      <c r="S164" s="2441"/>
      <c r="T164" s="2442"/>
      <c r="U164" s="1204"/>
      <c r="V164" s="1204"/>
      <c r="W164" s="1204"/>
      <c r="X164" s="1204"/>
      <c r="Y164" s="1204"/>
      <c r="Z164" s="1204"/>
      <c r="AA164" s="1204"/>
      <c r="AB164" s="1204"/>
      <c r="AC164" s="1204"/>
      <c r="AD164" s="1204"/>
      <c r="AE164" s="1204"/>
      <c r="AF164" s="1204"/>
      <c r="AG164" s="1204"/>
      <c r="AH164" s="2433" t="s">
        <v>2271</v>
      </c>
      <c r="AI164" s="2434"/>
      <c r="AJ164" s="2434"/>
      <c r="AK164" s="2434"/>
      <c r="AL164" s="2434"/>
      <c r="AM164" s="2434"/>
      <c r="AN164" s="2434"/>
      <c r="AO164" s="2434"/>
      <c r="AP164" s="2434"/>
      <c r="AQ164" s="2434"/>
      <c r="AR164" s="2434"/>
      <c r="AS164" s="2435">
        <v>0</v>
      </c>
      <c r="AT164" s="2435"/>
      <c r="AU164" s="2435"/>
      <c r="AV164" s="2435"/>
      <c r="AW164" s="2435"/>
      <c r="AX164" s="2435"/>
      <c r="AY164" s="2435">
        <v>0</v>
      </c>
      <c r="AZ164" s="2435"/>
      <c r="BA164" s="2435"/>
      <c r="BB164" s="2435"/>
      <c r="BC164" s="2435"/>
      <c r="BD164" s="2436"/>
      <c r="BE164" s="1210"/>
    </row>
    <row r="165" spans="1:57" ht="15.75" customHeight="1" thickBot="1">
      <c r="A165" s="1204"/>
      <c r="B165" s="1204"/>
      <c r="C165" s="2465" t="s">
        <v>2604</v>
      </c>
      <c r="D165" s="2466"/>
      <c r="E165" s="2466"/>
      <c r="F165" s="2466"/>
      <c r="G165" s="2466"/>
      <c r="H165" s="2466"/>
      <c r="I165" s="2466"/>
      <c r="J165" s="2466"/>
      <c r="K165" s="2466"/>
      <c r="L165" s="2466"/>
      <c r="M165" s="2466"/>
      <c r="N165" s="2467">
        <f>(N154-N164)/J29</f>
        <v>331286.86224489799</v>
      </c>
      <c r="O165" s="2468"/>
      <c r="P165" s="2468"/>
      <c r="Q165" s="2468"/>
      <c r="R165" s="2468"/>
      <c r="S165" s="2468"/>
      <c r="T165" s="2469"/>
      <c r="U165" s="1211"/>
      <c r="V165" s="1204"/>
      <c r="W165" s="1204"/>
      <c r="X165" s="1204"/>
      <c r="Y165" s="1204"/>
      <c r="Z165" s="1204"/>
      <c r="AA165" s="1204"/>
      <c r="AB165" s="1204"/>
      <c r="AC165" s="1204"/>
      <c r="AD165" s="1204"/>
      <c r="AE165" s="1204"/>
      <c r="AF165" s="1204"/>
      <c r="AG165" s="1204"/>
      <c r="AH165" s="2433" t="s">
        <v>2272</v>
      </c>
      <c r="AI165" s="2434"/>
      <c r="AJ165" s="2434"/>
      <c r="AK165" s="2434"/>
      <c r="AL165" s="2434"/>
      <c r="AM165" s="2434"/>
      <c r="AN165" s="2434"/>
      <c r="AO165" s="2434"/>
      <c r="AP165" s="2434"/>
      <c r="AQ165" s="2434"/>
      <c r="AR165" s="2434"/>
      <c r="AS165" s="2435">
        <v>0</v>
      </c>
      <c r="AT165" s="2435"/>
      <c r="AU165" s="2435"/>
      <c r="AV165" s="2435"/>
      <c r="AW165" s="2435"/>
      <c r="AX165" s="2435"/>
      <c r="AY165" s="2435">
        <v>0</v>
      </c>
      <c r="AZ165" s="2435"/>
      <c r="BA165" s="2435"/>
      <c r="BB165" s="2435"/>
      <c r="BC165" s="2435"/>
      <c r="BD165" s="2436"/>
      <c r="BE165" s="1210"/>
    </row>
    <row r="166" spans="1:57" ht="15.75" customHeight="1" thickBot="1">
      <c r="A166" s="1204"/>
      <c r="B166" s="1204"/>
      <c r="C166" s="1204"/>
      <c r="D166" s="1204"/>
      <c r="E166" s="1204"/>
      <c r="F166" s="1204"/>
      <c r="G166" s="1204"/>
      <c r="H166" s="1204"/>
      <c r="I166" s="1204"/>
      <c r="J166" s="1204"/>
      <c r="K166" s="1204"/>
      <c r="L166" s="1204"/>
      <c r="M166" s="1204"/>
      <c r="N166" s="1204"/>
      <c r="O166" s="1204"/>
      <c r="P166" s="1204"/>
      <c r="Q166" s="1204"/>
      <c r="R166" s="1204"/>
      <c r="S166" s="1204"/>
      <c r="T166" s="1204"/>
      <c r="U166" s="1204"/>
      <c r="V166" s="1204"/>
      <c r="W166" s="1204"/>
      <c r="X166" s="1204"/>
      <c r="Y166" s="1204"/>
      <c r="Z166" s="1204"/>
      <c r="AA166" s="1204"/>
      <c r="AB166" s="1204"/>
      <c r="AC166" s="1204"/>
      <c r="AD166" s="1204"/>
      <c r="AE166" s="1204"/>
      <c r="AF166" s="1204"/>
      <c r="AG166" s="1204"/>
      <c r="AH166" s="2470" t="s">
        <v>125</v>
      </c>
      <c r="AI166" s="2471"/>
      <c r="AJ166" s="2471"/>
      <c r="AK166" s="2471"/>
      <c r="AL166" s="2471"/>
      <c r="AM166" s="2471"/>
      <c r="AN166" s="2471"/>
      <c r="AO166" s="2471"/>
      <c r="AP166" s="2471"/>
      <c r="AQ166" s="2471"/>
      <c r="AR166" s="2471"/>
      <c r="AS166" s="2472">
        <f>SUM(AS160:AX165)</f>
        <v>39200000</v>
      </c>
      <c r="AT166" s="2472"/>
      <c r="AU166" s="2472"/>
      <c r="AV166" s="2472"/>
      <c r="AW166" s="2472"/>
      <c r="AX166" s="2472"/>
      <c r="AY166" s="2472">
        <f>SUM(AY160:BD165)</f>
        <v>2840455</v>
      </c>
      <c r="AZ166" s="2472"/>
      <c r="BA166" s="2472"/>
      <c r="BB166" s="2472"/>
      <c r="BC166" s="2472"/>
      <c r="BD166" s="2473"/>
      <c r="BE166" s="1210"/>
    </row>
    <row r="167" spans="1:57" ht="15.75" customHeight="1" thickBot="1">
      <c r="A167" s="1204"/>
      <c r="B167" s="1204"/>
      <c r="C167" s="1204"/>
      <c r="D167" s="1204"/>
      <c r="E167" s="1204"/>
      <c r="F167" s="1204"/>
      <c r="G167" s="1204"/>
      <c r="H167" s="1204"/>
      <c r="I167" s="1204"/>
      <c r="J167" s="1204"/>
      <c r="K167" s="1204"/>
      <c r="L167" s="1204"/>
      <c r="M167" s="1204"/>
      <c r="N167" s="1204"/>
      <c r="O167" s="1204"/>
      <c r="P167" s="1204"/>
      <c r="Q167" s="1204"/>
      <c r="R167" s="1204"/>
      <c r="S167" s="1204"/>
      <c r="T167" s="1204"/>
      <c r="U167" s="1204"/>
      <c r="V167" s="1204"/>
      <c r="W167" s="1204"/>
      <c r="X167" s="1204"/>
      <c r="Y167" s="1204"/>
      <c r="Z167" s="1204"/>
      <c r="AA167" s="1204"/>
      <c r="AB167" s="1204"/>
      <c r="AC167" s="1204"/>
      <c r="AD167" s="1204"/>
      <c r="AE167" s="1204"/>
      <c r="AF167" s="1204"/>
      <c r="AG167" s="1204"/>
      <c r="AH167" s="1204"/>
      <c r="AI167" s="1204"/>
      <c r="AJ167" s="1204"/>
      <c r="AK167" s="1204"/>
      <c r="AL167" s="1204"/>
      <c r="AM167" s="1204"/>
      <c r="AN167" s="1204"/>
      <c r="AO167" s="1204"/>
      <c r="AP167" s="1204"/>
      <c r="AQ167" s="1204"/>
      <c r="AR167" s="1204"/>
      <c r="AS167" s="1204"/>
      <c r="AT167" s="1204"/>
      <c r="AU167" s="1204"/>
      <c r="AV167" s="1204"/>
      <c r="AW167" s="1204"/>
      <c r="AX167" s="1204"/>
      <c r="AY167" s="1204"/>
      <c r="AZ167" s="1204"/>
      <c r="BA167" s="1204"/>
      <c r="BB167" s="1204"/>
      <c r="BC167" s="1204"/>
      <c r="BD167" s="1204"/>
      <c r="BE167" s="1210"/>
    </row>
    <row r="168" spans="1:57" ht="15.75" customHeight="1">
      <c r="A168" s="1204"/>
      <c r="B168" s="2452" t="s">
        <v>1926</v>
      </c>
      <c r="C168" s="2453"/>
      <c r="D168" s="2453"/>
      <c r="E168" s="2453"/>
      <c r="F168" s="2453"/>
      <c r="G168" s="2453"/>
      <c r="H168" s="2453"/>
      <c r="I168" s="2453"/>
      <c r="J168" s="2453"/>
      <c r="K168" s="2453"/>
      <c r="L168" s="2453"/>
      <c r="M168" s="2453"/>
      <c r="N168" s="2453"/>
      <c r="O168" s="2453"/>
      <c r="P168" s="2453"/>
      <c r="Q168" s="2453"/>
      <c r="R168" s="2453"/>
      <c r="S168" s="2453"/>
      <c r="T168" s="2453"/>
      <c r="U168" s="2453"/>
      <c r="V168" s="2453"/>
      <c r="W168" s="2453"/>
      <c r="X168" s="2453"/>
      <c r="Y168" s="2453"/>
      <c r="Z168" s="2453"/>
      <c r="AA168" s="2453"/>
      <c r="AB168" s="2453"/>
      <c r="AC168" s="2453"/>
      <c r="AD168" s="2453"/>
      <c r="AE168" s="2453"/>
      <c r="AF168" s="2453"/>
      <c r="AG168" s="2453"/>
      <c r="AH168" s="2453"/>
      <c r="AI168" s="2453"/>
      <c r="AJ168" s="2453"/>
      <c r="AK168" s="2453"/>
      <c r="AL168" s="2453"/>
      <c r="AM168" s="2453"/>
      <c r="AN168" s="2453"/>
      <c r="AO168" s="2453"/>
      <c r="AP168" s="2453"/>
      <c r="AQ168" s="2453"/>
      <c r="AR168" s="2453"/>
      <c r="AS168" s="2453"/>
      <c r="AT168" s="2453"/>
      <c r="AU168" s="2453"/>
      <c r="AV168" s="2453"/>
      <c r="AW168" s="2453"/>
      <c r="AX168" s="2453"/>
      <c r="AY168" s="2453"/>
      <c r="AZ168" s="2453"/>
      <c r="BA168" s="2453"/>
      <c r="BB168" s="2453"/>
      <c r="BC168" s="2453"/>
      <c r="BD168" s="2454"/>
      <c r="BE168" s="1210"/>
    </row>
    <row r="169" spans="1:57" ht="15.75" customHeight="1">
      <c r="A169" s="1204"/>
      <c r="B169" s="2455"/>
      <c r="C169" s="2456"/>
      <c r="D169" s="2456"/>
      <c r="E169" s="2456"/>
      <c r="F169" s="2456"/>
      <c r="G169" s="2456"/>
      <c r="H169" s="2456"/>
      <c r="I169" s="2456"/>
      <c r="J169" s="2456"/>
      <c r="K169" s="2456"/>
      <c r="L169" s="2456"/>
      <c r="M169" s="2456"/>
      <c r="N169" s="2456"/>
      <c r="O169" s="2456"/>
      <c r="P169" s="2456"/>
      <c r="Q169" s="2456"/>
      <c r="R169" s="2456"/>
      <c r="S169" s="2456"/>
      <c r="T169" s="2456"/>
      <c r="U169" s="2456"/>
      <c r="V169" s="2456"/>
      <c r="W169" s="2456"/>
      <c r="X169" s="2456"/>
      <c r="Y169" s="2456"/>
      <c r="Z169" s="2456"/>
      <c r="AA169" s="2456"/>
      <c r="AB169" s="2456"/>
      <c r="AC169" s="2456"/>
      <c r="AD169" s="2456"/>
      <c r="AE169" s="2456"/>
      <c r="AF169" s="2456"/>
      <c r="AG169" s="2456"/>
      <c r="AH169" s="2456"/>
      <c r="AI169" s="2456"/>
      <c r="AJ169" s="2456"/>
      <c r="AK169" s="2456"/>
      <c r="AL169" s="2456"/>
      <c r="AM169" s="2456"/>
      <c r="AN169" s="2456"/>
      <c r="AO169" s="2456"/>
      <c r="AP169" s="2456"/>
      <c r="AQ169" s="2456"/>
      <c r="AR169" s="2456"/>
      <c r="AS169" s="2456"/>
      <c r="AT169" s="2456"/>
      <c r="AU169" s="2456"/>
      <c r="AV169" s="2456"/>
      <c r="AW169" s="2456"/>
      <c r="AX169" s="2456"/>
      <c r="AY169" s="2456"/>
      <c r="AZ169" s="2456"/>
      <c r="BA169" s="2456"/>
      <c r="BB169" s="2456"/>
      <c r="BC169" s="2456"/>
      <c r="BD169" s="2457"/>
      <c r="BE169" s="1210"/>
    </row>
    <row r="170" spans="1:57" ht="15.75" customHeight="1">
      <c r="A170" s="1204"/>
      <c r="B170" s="2458" t="s">
        <v>1927</v>
      </c>
      <c r="C170" s="2459"/>
      <c r="D170" s="2459"/>
      <c r="E170" s="2459"/>
      <c r="F170" s="2459"/>
      <c r="G170" s="2459"/>
      <c r="H170" s="2459"/>
      <c r="I170" s="2459"/>
      <c r="J170" s="2459"/>
      <c r="K170" s="2459"/>
      <c r="L170" s="2459"/>
      <c r="M170" s="2459"/>
      <c r="N170" s="2459"/>
      <c r="O170" s="2459"/>
      <c r="P170" s="2459"/>
      <c r="Q170" s="2459"/>
      <c r="R170" s="2459"/>
      <c r="S170" s="2459"/>
      <c r="T170" s="2459"/>
      <c r="U170" s="2459"/>
      <c r="V170" s="2459"/>
      <c r="W170" s="2459"/>
      <c r="X170" s="2459"/>
      <c r="Y170" s="2459"/>
      <c r="Z170" s="2459"/>
      <c r="AA170" s="2459"/>
      <c r="AB170" s="2459"/>
      <c r="AC170" s="2459"/>
      <c r="AD170" s="2459"/>
      <c r="AE170" s="2459"/>
      <c r="AF170" s="2459"/>
      <c r="AG170" s="2459"/>
      <c r="AH170" s="2459"/>
      <c r="AI170" s="2459"/>
      <c r="AJ170" s="2459"/>
      <c r="AK170" s="2459"/>
      <c r="AL170" s="2459"/>
      <c r="AM170" s="2459"/>
      <c r="AN170" s="2459"/>
      <c r="AO170" s="2459"/>
      <c r="AP170" s="2459"/>
      <c r="AQ170" s="2459"/>
      <c r="AR170" s="2459"/>
      <c r="AS170" s="2459"/>
      <c r="AT170" s="2459"/>
      <c r="AU170" s="2459"/>
      <c r="AV170" s="2459"/>
      <c r="AW170" s="2459"/>
      <c r="AX170" s="2459"/>
      <c r="AY170" s="2459"/>
      <c r="AZ170" s="2459"/>
      <c r="BA170" s="2459"/>
      <c r="BB170" s="2459"/>
      <c r="BC170" s="2459"/>
      <c r="BD170" s="2460"/>
      <c r="BE170" s="1210"/>
    </row>
    <row r="171" spans="1:57" ht="15.75" customHeight="1">
      <c r="A171" s="1204"/>
      <c r="B171" s="2458" t="s">
        <v>1928</v>
      </c>
      <c r="C171" s="2459"/>
      <c r="D171" s="2459"/>
      <c r="E171" s="2459"/>
      <c r="F171" s="2459"/>
      <c r="G171" s="2459"/>
      <c r="H171" s="2459"/>
      <c r="I171" s="2459"/>
      <c r="J171" s="2459"/>
      <c r="K171" s="2459"/>
      <c r="L171" s="2459"/>
      <c r="M171" s="2459"/>
      <c r="N171" s="2459"/>
      <c r="O171" s="2459"/>
      <c r="P171" s="2459"/>
      <c r="Q171" s="2459"/>
      <c r="R171" s="2459"/>
      <c r="S171" s="2459"/>
      <c r="T171" s="2459"/>
      <c r="U171" s="2459"/>
      <c r="V171" s="2459"/>
      <c r="W171" s="2459"/>
      <c r="X171" s="2459"/>
      <c r="Y171" s="2459"/>
      <c r="Z171" s="2459"/>
      <c r="AA171" s="2459"/>
      <c r="AB171" s="2459"/>
      <c r="AC171" s="2459"/>
      <c r="AD171" s="2459"/>
      <c r="AE171" s="2459"/>
      <c r="AF171" s="2459"/>
      <c r="AG171" s="2459"/>
      <c r="AH171" s="2459"/>
      <c r="AI171" s="2459"/>
      <c r="AJ171" s="2459"/>
      <c r="AK171" s="2459"/>
      <c r="AL171" s="2459"/>
      <c r="AM171" s="2459"/>
      <c r="AN171" s="2459"/>
      <c r="AO171" s="2459"/>
      <c r="AP171" s="2459"/>
      <c r="AQ171" s="2459"/>
      <c r="AR171" s="2459"/>
      <c r="AS171" s="2459"/>
      <c r="AT171" s="2459"/>
      <c r="AU171" s="2459"/>
      <c r="AV171" s="2459"/>
      <c r="AW171" s="2459"/>
      <c r="AX171" s="2459"/>
      <c r="AY171" s="2459"/>
      <c r="AZ171" s="2459"/>
      <c r="BA171" s="2459"/>
      <c r="BB171" s="2459"/>
      <c r="BC171" s="2459"/>
      <c r="BD171" s="2460"/>
      <c r="BE171" s="1210"/>
    </row>
    <row r="172" spans="1:57" ht="15.75" customHeight="1">
      <c r="A172" s="1204"/>
      <c r="B172" s="1203"/>
      <c r="C172" s="1204"/>
      <c r="D172" s="1204"/>
      <c r="E172" s="1204"/>
      <c r="F172" s="1204"/>
      <c r="G172" s="1204"/>
      <c r="H172" s="1204"/>
      <c r="I172" s="1204"/>
      <c r="J172" s="1204"/>
      <c r="K172" s="1204"/>
      <c r="L172" s="1204"/>
      <c r="M172" s="1204"/>
      <c r="N172" s="1204"/>
      <c r="O172" s="1204"/>
      <c r="P172" s="1204"/>
      <c r="Q172" s="1204"/>
      <c r="R172" s="1204"/>
      <c r="S172" s="1204"/>
      <c r="T172" s="1204"/>
      <c r="U172" s="1204"/>
      <c r="V172" s="1204"/>
      <c r="W172" s="1204"/>
      <c r="X172" s="1204"/>
      <c r="Y172" s="1204"/>
      <c r="Z172" s="1204"/>
      <c r="AA172" s="1204"/>
      <c r="AB172" s="1204"/>
      <c r="AC172" s="1204"/>
      <c r="AD172" s="1204"/>
      <c r="AE172" s="1204"/>
      <c r="AF172" s="1204"/>
      <c r="AG172" s="1204"/>
      <c r="AH172" s="1204"/>
      <c r="AI172" s="1204"/>
      <c r="AJ172" s="1204"/>
      <c r="AK172" s="1204"/>
      <c r="AL172" s="1204"/>
      <c r="AM172" s="1204"/>
      <c r="AN172" s="1204"/>
      <c r="AO172" s="1204"/>
      <c r="AP172" s="1204"/>
      <c r="AQ172" s="1204"/>
      <c r="AR172" s="1204"/>
      <c r="AS172" s="1204"/>
      <c r="AT172" s="1204"/>
      <c r="AU172" s="1204"/>
      <c r="AV172" s="1204"/>
      <c r="AW172" s="1204"/>
      <c r="AX172" s="1204"/>
      <c r="AY172" s="1204"/>
      <c r="AZ172" s="1204"/>
      <c r="BA172" s="1204"/>
      <c r="BB172" s="1204"/>
      <c r="BC172" s="1204"/>
      <c r="BD172" s="1210"/>
      <c r="BE172" s="1210"/>
    </row>
    <row r="173" spans="1:57" ht="15.75" customHeight="1">
      <c r="A173" s="1204"/>
      <c r="B173" s="2461" t="s">
        <v>1929</v>
      </c>
      <c r="C173" s="2462"/>
      <c r="D173" s="2462"/>
      <c r="E173" s="2462"/>
      <c r="F173" s="2462"/>
      <c r="G173" s="2462"/>
      <c r="H173" s="2462"/>
      <c r="I173" s="2462"/>
      <c r="J173" s="2462"/>
      <c r="K173" s="2462"/>
      <c r="L173" s="2462"/>
      <c r="M173" s="2462"/>
      <c r="N173" s="2462"/>
      <c r="O173" s="2462"/>
      <c r="P173" s="2462"/>
      <c r="Q173" s="2462"/>
      <c r="R173" s="2462"/>
      <c r="S173" s="2462"/>
      <c r="T173" s="2462"/>
      <c r="U173" s="2462"/>
      <c r="V173" s="2462"/>
      <c r="W173" s="2462"/>
      <c r="X173" s="2462"/>
      <c r="Y173" s="2462"/>
      <c r="Z173" s="2462"/>
      <c r="AA173" s="2462"/>
      <c r="AB173" s="2462"/>
      <c r="AC173" s="2462"/>
      <c r="AD173" s="2462"/>
      <c r="AE173" s="2462"/>
      <c r="AF173" s="2462"/>
      <c r="AG173" s="2462"/>
      <c r="AH173" s="2462"/>
      <c r="AI173" s="2462"/>
      <c r="AJ173" s="2462"/>
      <c r="AK173" s="2462"/>
      <c r="AL173" s="2462"/>
      <c r="AM173" s="2462"/>
      <c r="AN173" s="2462"/>
      <c r="AO173" s="2462"/>
      <c r="AP173" s="2462"/>
      <c r="AQ173" s="2462"/>
      <c r="AR173" s="2462"/>
      <c r="AS173" s="2462"/>
      <c r="AT173" s="2462"/>
      <c r="AU173" s="2462"/>
      <c r="AV173" s="2462"/>
      <c r="AW173" s="2462"/>
      <c r="AX173" s="2462"/>
      <c r="AY173" s="2462"/>
      <c r="AZ173" s="2462"/>
      <c r="BA173" s="2462"/>
      <c r="BB173" s="2462"/>
      <c r="BC173" s="2462"/>
      <c r="BD173" s="2463"/>
      <c r="BE173" s="1210"/>
    </row>
    <row r="174" spans="1:57" ht="15.75" customHeight="1">
      <c r="A174" s="1204"/>
      <c r="B174" s="1245"/>
      <c r="C174" s="1204"/>
      <c r="D174" s="1204"/>
      <c r="E174" s="1204"/>
      <c r="F174" s="1204"/>
      <c r="G174" s="1204"/>
      <c r="H174" s="1204"/>
      <c r="I174" s="1204"/>
      <c r="J174" s="1204"/>
      <c r="K174" s="1204"/>
      <c r="L174" s="1204"/>
      <c r="M174" s="1204"/>
      <c r="N174" s="1204"/>
      <c r="O174" s="1204"/>
      <c r="P174" s="1204"/>
      <c r="Q174" s="1204"/>
      <c r="R174" s="1204"/>
      <c r="S174" s="1204"/>
      <c r="T174" s="1204"/>
      <c r="U174" s="1204"/>
      <c r="V174" s="1204"/>
      <c r="W174" s="1204"/>
      <c r="X174" s="1204"/>
      <c r="Y174" s="1204"/>
      <c r="Z174" s="1204"/>
      <c r="AA174" s="1204"/>
      <c r="AB174" s="1204"/>
      <c r="AC174" s="1204"/>
      <c r="AD174" s="1204"/>
      <c r="AE174" s="1204"/>
      <c r="AF174" s="1204"/>
      <c r="AG174" s="1204"/>
      <c r="AH174" s="1204"/>
      <c r="AI174" s="1204"/>
      <c r="AJ174" s="1204"/>
      <c r="AK174" s="1204"/>
      <c r="AL174" s="1204"/>
      <c r="AM174" s="1204"/>
      <c r="AN174" s="1204"/>
      <c r="AO174" s="1204"/>
      <c r="AP174" s="1204"/>
      <c r="AQ174" s="1204"/>
      <c r="AR174" s="1204"/>
      <c r="AS174" s="1204"/>
      <c r="AT174" s="1204"/>
      <c r="AU174" s="1204"/>
      <c r="AV174" s="1204"/>
      <c r="AW174" s="1204"/>
      <c r="AX174" s="1204"/>
      <c r="AY174" s="1204"/>
      <c r="AZ174" s="1204"/>
      <c r="BA174" s="1204"/>
      <c r="BB174" s="1204"/>
      <c r="BC174" s="1204"/>
      <c r="BD174" s="1210"/>
      <c r="BE174" s="1210"/>
    </row>
    <row r="175" spans="1:57" ht="15.75" customHeight="1">
      <c r="A175" s="1204"/>
      <c r="B175" s="1246"/>
      <c r="C175" s="1204"/>
      <c r="D175" s="1204"/>
      <c r="E175" s="1204"/>
      <c r="F175" s="1204"/>
      <c r="G175" s="1204"/>
      <c r="H175" s="1206" t="s">
        <v>1930</v>
      </c>
      <c r="I175" s="1204"/>
      <c r="J175" s="1204"/>
      <c r="K175" s="1204"/>
      <c r="L175" s="1204"/>
      <c r="M175" s="1204"/>
      <c r="N175" s="1204"/>
      <c r="O175" s="1204"/>
      <c r="P175" s="1204"/>
      <c r="Q175" s="1204"/>
      <c r="R175" s="1204"/>
      <c r="S175" s="1204"/>
      <c r="T175" s="1204"/>
      <c r="U175" s="1204"/>
      <c r="V175" s="1204"/>
      <c r="W175" s="1204"/>
      <c r="X175" s="1204"/>
      <c r="Y175" s="1204"/>
      <c r="Z175" s="1204"/>
      <c r="AA175" s="1204"/>
      <c r="AB175" s="1204"/>
      <c r="AC175" s="1204"/>
      <c r="AD175" s="1204"/>
      <c r="AE175" s="1204"/>
      <c r="AF175" s="1204"/>
      <c r="AG175" s="1204"/>
      <c r="AH175" s="1204"/>
      <c r="AI175" s="1204"/>
      <c r="AJ175" s="1204"/>
      <c r="AK175" s="1204"/>
      <c r="AL175" s="1204"/>
      <c r="AM175" s="1204"/>
      <c r="AN175" s="1204"/>
      <c r="AO175" s="1204"/>
      <c r="AP175" s="1204"/>
      <c r="AQ175" s="1204"/>
      <c r="AR175" s="1204"/>
      <c r="AS175" s="1204"/>
      <c r="AT175" s="1204"/>
      <c r="AU175" s="1204"/>
      <c r="AV175" s="1204"/>
      <c r="AW175" s="1204"/>
      <c r="AX175" s="1204"/>
      <c r="AY175" s="1204"/>
      <c r="AZ175" s="1204"/>
      <c r="BA175" s="1204"/>
      <c r="BB175" s="1204"/>
      <c r="BC175" s="1204"/>
      <c r="BD175" s="1210"/>
      <c r="BE175" s="1210"/>
    </row>
    <row r="176" spans="1:57" ht="15.75" customHeight="1">
      <c r="A176" s="1204"/>
      <c r="B176" s="1246"/>
      <c r="C176" s="1204"/>
      <c r="D176" s="1204"/>
      <c r="E176" s="1204"/>
      <c r="F176" s="1204"/>
      <c r="G176" s="1204"/>
      <c r="H176" s="1204"/>
      <c r="I176" s="1204"/>
      <c r="J176" s="1204"/>
      <c r="K176" s="1204"/>
      <c r="L176" s="1204"/>
      <c r="M176" s="1204"/>
      <c r="N176" s="1204"/>
      <c r="O176" s="1204"/>
      <c r="P176" s="1204"/>
      <c r="Q176" s="1204"/>
      <c r="R176" s="1204"/>
      <c r="S176" s="1204"/>
      <c r="T176" s="1204"/>
      <c r="U176" s="1204"/>
      <c r="V176" s="1204"/>
      <c r="W176" s="1204"/>
      <c r="X176" s="1204"/>
      <c r="Y176" s="1204"/>
      <c r="Z176" s="1204"/>
      <c r="AA176" s="1204"/>
      <c r="AB176" s="1204"/>
      <c r="AC176" s="1204"/>
      <c r="AD176" s="1204"/>
      <c r="AE176" s="1204"/>
      <c r="AF176" s="1204"/>
      <c r="AG176" s="1204"/>
      <c r="AH176" s="1204"/>
      <c r="AI176" s="1204"/>
      <c r="AJ176" s="1204"/>
      <c r="AK176" s="1204"/>
      <c r="AL176" s="1204"/>
      <c r="AM176" s="1204"/>
      <c r="AN176" s="1204"/>
      <c r="AO176" s="1204"/>
      <c r="AP176" s="1204"/>
      <c r="AQ176" s="1204"/>
      <c r="AR176" s="1204"/>
      <c r="AS176" s="1204"/>
      <c r="AT176" s="1204"/>
      <c r="AU176" s="1204"/>
      <c r="AV176" s="1204"/>
      <c r="AW176" s="1204"/>
      <c r="AX176" s="1204"/>
      <c r="AY176" s="1204"/>
      <c r="AZ176" s="1204"/>
      <c r="BA176" s="1204"/>
      <c r="BB176" s="1204"/>
      <c r="BC176" s="1204"/>
      <c r="BD176" s="1210"/>
      <c r="BE176" s="1210"/>
    </row>
    <row r="177" spans="1:57" ht="15.75" customHeight="1">
      <c r="A177" s="1204"/>
      <c r="B177" s="1246"/>
      <c r="C177" s="1204"/>
      <c r="D177" s="1204"/>
      <c r="E177" s="1204"/>
      <c r="F177" s="1204"/>
      <c r="G177" s="1204"/>
      <c r="H177" s="2464" t="s">
        <v>1931</v>
      </c>
      <c r="I177" s="2464"/>
      <c r="J177" s="2464"/>
      <c r="K177" s="2464"/>
      <c r="L177" s="2464"/>
      <c r="M177" s="2464"/>
      <c r="N177" s="2464"/>
      <c r="O177" s="2464"/>
      <c r="P177" s="2464"/>
      <c r="Q177" s="2464"/>
      <c r="R177" s="2464"/>
      <c r="S177" s="2464"/>
      <c r="T177" s="2464"/>
      <c r="U177" s="2464"/>
      <c r="V177" s="2464"/>
      <c r="W177" s="2464"/>
      <c r="X177" s="2464"/>
      <c r="Y177" s="2464"/>
      <c r="Z177" s="2464"/>
      <c r="AA177" s="2464"/>
      <c r="AB177" s="2464"/>
      <c r="AC177" s="2464"/>
      <c r="AD177" s="2464"/>
      <c r="AE177" s="2464"/>
      <c r="AF177" s="2464"/>
      <c r="AG177" s="2464"/>
      <c r="AH177" s="2464"/>
      <c r="AI177" s="2464"/>
      <c r="AJ177" s="2464"/>
      <c r="AK177" s="2464"/>
      <c r="AL177" s="2464"/>
      <c r="AM177" s="2464"/>
      <c r="AN177" s="2464"/>
      <c r="AO177" s="2464"/>
      <c r="AP177" s="2464"/>
      <c r="AQ177" s="2464"/>
      <c r="AR177" s="2464"/>
      <c r="AS177" s="2464"/>
      <c r="AT177" s="2464"/>
      <c r="AU177" s="2464"/>
      <c r="AV177" s="2464"/>
      <c r="AW177" s="2464"/>
      <c r="AX177" s="2464"/>
      <c r="AY177" s="2464"/>
      <c r="AZ177" s="1204"/>
      <c r="BA177" s="1204"/>
      <c r="BB177" s="1204"/>
      <c r="BC177" s="1204"/>
      <c r="BD177" s="1210"/>
      <c r="BE177" s="1210"/>
    </row>
    <row r="178" spans="1:57" ht="15.75" customHeight="1">
      <c r="A178" s="1204"/>
      <c r="B178" s="1246"/>
      <c r="C178" s="1204"/>
      <c r="D178" s="1204"/>
      <c r="E178" s="1204"/>
      <c r="F178" s="1204"/>
      <c r="G178" s="1204"/>
      <c r="H178" s="1204"/>
      <c r="I178" s="1204"/>
      <c r="J178" s="1204"/>
      <c r="K178" s="1204"/>
      <c r="L178" s="1204"/>
      <c r="M178" s="1204"/>
      <c r="N178" s="1204"/>
      <c r="O178" s="1204"/>
      <c r="P178" s="1204"/>
      <c r="Q178" s="1204"/>
      <c r="R178" s="1204"/>
      <c r="S178" s="1204"/>
      <c r="T178" s="1204"/>
      <c r="U178" s="1204"/>
      <c r="V178" s="1204"/>
      <c r="W178" s="1204"/>
      <c r="X178" s="1204"/>
      <c r="Y178" s="1204"/>
      <c r="Z178" s="1204"/>
      <c r="AA178" s="1204"/>
      <c r="AB178" s="1204"/>
      <c r="AC178" s="1204"/>
      <c r="AD178" s="1204"/>
      <c r="AE178" s="1204"/>
      <c r="AF178" s="1204"/>
      <c r="AG178" s="1204"/>
      <c r="AH178" s="1204"/>
      <c r="AI178" s="1204"/>
      <c r="AJ178" s="1204"/>
      <c r="AK178" s="1204"/>
      <c r="AL178" s="1204"/>
      <c r="AM178" s="1204"/>
      <c r="AN178" s="1204"/>
      <c r="AO178" s="1204"/>
      <c r="AP178" s="1204"/>
      <c r="AQ178" s="1204"/>
      <c r="AR178" s="1204"/>
      <c r="AS178" s="1204"/>
      <c r="AT178" s="1204"/>
      <c r="AU178" s="1204"/>
      <c r="AV178" s="1204"/>
      <c r="AW178" s="1204"/>
      <c r="AX178" s="1204"/>
      <c r="AY178" s="1204"/>
      <c r="AZ178" s="1204"/>
      <c r="BA178" s="1204"/>
      <c r="BB178" s="1204"/>
      <c r="BC178" s="1204"/>
      <c r="BD178" s="1210"/>
      <c r="BE178" s="1210"/>
    </row>
    <row r="179" spans="1:57" ht="15.75" customHeight="1">
      <c r="A179" s="1204"/>
      <c r="B179" s="1246"/>
      <c r="C179" s="1204"/>
      <c r="D179" s="1204"/>
      <c r="E179" s="1204"/>
      <c r="F179" s="1204"/>
      <c r="G179" s="1204"/>
      <c r="H179" s="2483" t="s">
        <v>2605</v>
      </c>
      <c r="I179" s="2483"/>
      <c r="J179" s="2483"/>
      <c r="K179" s="2483"/>
      <c r="L179" s="2483"/>
      <c r="M179" s="2483"/>
      <c r="N179" s="2483"/>
      <c r="O179" s="2483"/>
      <c r="P179" s="2483"/>
      <c r="Q179" s="2483"/>
      <c r="R179" s="2483"/>
      <c r="S179" s="2483"/>
      <c r="T179" s="2483"/>
      <c r="U179" s="2483"/>
      <c r="V179" s="2483"/>
      <c r="W179" s="2483"/>
      <c r="X179" s="2483"/>
      <c r="Y179" s="2483"/>
      <c r="Z179" s="2483"/>
      <c r="AA179" s="2483"/>
      <c r="AB179" s="2483"/>
      <c r="AC179" s="2483"/>
      <c r="AD179" s="2483"/>
      <c r="AE179" s="2483"/>
      <c r="AF179" s="2483"/>
      <c r="AG179" s="2483"/>
      <c r="AH179" s="2483"/>
      <c r="AI179" s="2483"/>
      <c r="AJ179" s="2483"/>
      <c r="AK179" s="2483"/>
      <c r="AL179" s="2483"/>
      <c r="AM179" s="2483"/>
      <c r="AN179" s="2483"/>
      <c r="AO179" s="2483"/>
      <c r="AP179" s="2483"/>
      <c r="AQ179" s="2483"/>
      <c r="AR179" s="2483"/>
      <c r="AS179" s="2483"/>
      <c r="AT179" s="2483"/>
      <c r="AU179" s="2483"/>
      <c r="AV179" s="2483"/>
      <c r="AW179" s="2483"/>
      <c r="AX179" s="2483"/>
      <c r="AY179" s="2483"/>
      <c r="AZ179" s="2483"/>
      <c r="BA179" s="1204"/>
      <c r="BB179" s="1204"/>
      <c r="BC179" s="1204"/>
      <c r="BD179" s="1210"/>
      <c r="BE179" s="1210"/>
    </row>
    <row r="180" spans="1:57" ht="15.75" customHeight="1">
      <c r="A180" s="1204"/>
      <c r="B180" s="1203"/>
      <c r="C180" s="1204"/>
      <c r="D180" s="1204"/>
      <c r="E180" s="1204"/>
      <c r="F180" s="1204"/>
      <c r="G180" s="1204"/>
      <c r="H180" s="2483"/>
      <c r="I180" s="2483"/>
      <c r="J180" s="2483"/>
      <c r="K180" s="2483"/>
      <c r="L180" s="2483"/>
      <c r="M180" s="2483"/>
      <c r="N180" s="2483"/>
      <c r="O180" s="2483"/>
      <c r="P180" s="2483"/>
      <c r="Q180" s="2483"/>
      <c r="R180" s="2483"/>
      <c r="S180" s="2483"/>
      <c r="T180" s="2483"/>
      <c r="U180" s="2483"/>
      <c r="V180" s="2483"/>
      <c r="W180" s="2483"/>
      <c r="X180" s="2483"/>
      <c r="Y180" s="2483"/>
      <c r="Z180" s="2483"/>
      <c r="AA180" s="2483"/>
      <c r="AB180" s="2483"/>
      <c r="AC180" s="2483"/>
      <c r="AD180" s="2483"/>
      <c r="AE180" s="2483"/>
      <c r="AF180" s="2483"/>
      <c r="AG180" s="2483"/>
      <c r="AH180" s="2483"/>
      <c r="AI180" s="2483"/>
      <c r="AJ180" s="2483"/>
      <c r="AK180" s="2483"/>
      <c r="AL180" s="2483"/>
      <c r="AM180" s="2483"/>
      <c r="AN180" s="2483"/>
      <c r="AO180" s="2483"/>
      <c r="AP180" s="2483"/>
      <c r="AQ180" s="2483"/>
      <c r="AR180" s="2483"/>
      <c r="AS180" s="2483"/>
      <c r="AT180" s="2483"/>
      <c r="AU180" s="2483"/>
      <c r="AV180" s="2483"/>
      <c r="AW180" s="2483"/>
      <c r="AX180" s="2483"/>
      <c r="AY180" s="2483"/>
      <c r="AZ180" s="2483"/>
      <c r="BA180" s="1204"/>
      <c r="BB180" s="1204"/>
      <c r="BC180" s="1204"/>
      <c r="BD180" s="1210"/>
      <c r="BE180" s="1210"/>
    </row>
    <row r="181" spans="1:57" ht="15.75" customHeight="1">
      <c r="A181" s="1204"/>
      <c r="B181" s="1203"/>
      <c r="C181" s="1204"/>
      <c r="D181" s="1204"/>
      <c r="E181" s="1204"/>
      <c r="F181" s="1204"/>
      <c r="G181" s="1204"/>
      <c r="H181" s="2483"/>
      <c r="I181" s="2483"/>
      <c r="J181" s="2483"/>
      <c r="K181" s="2483"/>
      <c r="L181" s="2483"/>
      <c r="M181" s="2483"/>
      <c r="N181" s="2483"/>
      <c r="O181" s="2483"/>
      <c r="P181" s="2483"/>
      <c r="Q181" s="2483"/>
      <c r="R181" s="2483"/>
      <c r="S181" s="2483"/>
      <c r="T181" s="2483"/>
      <c r="U181" s="2483"/>
      <c r="V181" s="2483"/>
      <c r="W181" s="2483"/>
      <c r="X181" s="2483"/>
      <c r="Y181" s="2483"/>
      <c r="Z181" s="2483"/>
      <c r="AA181" s="2483"/>
      <c r="AB181" s="2483"/>
      <c r="AC181" s="2483"/>
      <c r="AD181" s="2483"/>
      <c r="AE181" s="2483"/>
      <c r="AF181" s="2483"/>
      <c r="AG181" s="2483"/>
      <c r="AH181" s="2483"/>
      <c r="AI181" s="2483"/>
      <c r="AJ181" s="2483"/>
      <c r="AK181" s="2483"/>
      <c r="AL181" s="2483"/>
      <c r="AM181" s="2483"/>
      <c r="AN181" s="2483"/>
      <c r="AO181" s="2483"/>
      <c r="AP181" s="2483"/>
      <c r="AQ181" s="2483"/>
      <c r="AR181" s="2483"/>
      <c r="AS181" s="2483"/>
      <c r="AT181" s="2483"/>
      <c r="AU181" s="2483"/>
      <c r="AV181" s="2483"/>
      <c r="AW181" s="2483"/>
      <c r="AX181" s="2483"/>
      <c r="AY181" s="2483"/>
      <c r="AZ181" s="2483"/>
      <c r="BA181" s="1204"/>
      <c r="BB181" s="1204"/>
      <c r="BC181" s="1204"/>
      <c r="BD181" s="1210"/>
      <c r="BE181" s="1210"/>
    </row>
    <row r="182" spans="1:57" ht="15.75" customHeight="1">
      <c r="A182" s="1204"/>
      <c r="B182" s="1203"/>
      <c r="C182" s="1204"/>
      <c r="D182" s="1204"/>
      <c r="E182" s="1204"/>
      <c r="F182" s="1204"/>
      <c r="G182" s="1204"/>
      <c r="H182" s="2483"/>
      <c r="I182" s="2483"/>
      <c r="J182" s="2483"/>
      <c r="K182" s="2483"/>
      <c r="L182" s="2483"/>
      <c r="M182" s="2483"/>
      <c r="N182" s="2483"/>
      <c r="O182" s="2483"/>
      <c r="P182" s="2483"/>
      <c r="Q182" s="2483"/>
      <c r="R182" s="2483"/>
      <c r="S182" s="2483"/>
      <c r="T182" s="2483"/>
      <c r="U182" s="2483"/>
      <c r="V182" s="2483"/>
      <c r="W182" s="2483"/>
      <c r="X182" s="2483"/>
      <c r="Y182" s="2483"/>
      <c r="Z182" s="2483"/>
      <c r="AA182" s="2483"/>
      <c r="AB182" s="2483"/>
      <c r="AC182" s="2483"/>
      <c r="AD182" s="2483"/>
      <c r="AE182" s="2483"/>
      <c r="AF182" s="2483"/>
      <c r="AG182" s="2483"/>
      <c r="AH182" s="2483"/>
      <c r="AI182" s="2483"/>
      <c r="AJ182" s="2483"/>
      <c r="AK182" s="2483"/>
      <c r="AL182" s="2483"/>
      <c r="AM182" s="2483"/>
      <c r="AN182" s="2483"/>
      <c r="AO182" s="2483"/>
      <c r="AP182" s="2483"/>
      <c r="AQ182" s="2483"/>
      <c r="AR182" s="2483"/>
      <c r="AS182" s="2483"/>
      <c r="AT182" s="2483"/>
      <c r="AU182" s="2483"/>
      <c r="AV182" s="2483"/>
      <c r="AW182" s="2483"/>
      <c r="AX182" s="2483"/>
      <c r="AY182" s="2483"/>
      <c r="AZ182" s="2483"/>
      <c r="BA182" s="1204"/>
      <c r="BB182" s="1204"/>
      <c r="BC182" s="1204"/>
      <c r="BD182" s="1210"/>
      <c r="BE182" s="1210"/>
    </row>
    <row r="183" spans="1:57" ht="15.75" customHeight="1">
      <c r="A183" s="1204"/>
      <c r="B183" s="1203"/>
      <c r="C183" s="1204"/>
      <c r="D183" s="1204"/>
      <c r="E183" s="1204"/>
      <c r="F183" s="1204"/>
      <c r="G183" s="1204"/>
      <c r="H183" s="1204"/>
      <c r="I183" s="1204"/>
      <c r="J183" s="1204"/>
      <c r="K183" s="1204"/>
      <c r="L183" s="1204"/>
      <c r="M183" s="1204"/>
      <c r="N183" s="1204"/>
      <c r="O183" s="1204"/>
      <c r="P183" s="1204"/>
      <c r="Q183" s="1204"/>
      <c r="R183" s="1204"/>
      <c r="S183" s="1204"/>
      <c r="T183" s="1204"/>
      <c r="U183" s="1204"/>
      <c r="V183" s="1204"/>
      <c r="W183" s="1204"/>
      <c r="X183" s="1204"/>
      <c r="Y183" s="1204"/>
      <c r="Z183" s="1204"/>
      <c r="AA183" s="1204"/>
      <c r="AB183" s="1204"/>
      <c r="AC183" s="1204"/>
      <c r="AD183" s="1204"/>
      <c r="AE183" s="1204"/>
      <c r="AF183" s="1204"/>
      <c r="AG183" s="1204"/>
      <c r="AH183" s="1204"/>
      <c r="AI183" s="1204"/>
      <c r="AJ183" s="1204"/>
      <c r="AK183" s="1204"/>
      <c r="AL183" s="1204"/>
      <c r="AM183" s="1204"/>
      <c r="AN183" s="1204"/>
      <c r="AO183" s="1204"/>
      <c r="AP183" s="1204"/>
      <c r="AQ183" s="1204"/>
      <c r="AR183" s="1204"/>
      <c r="AS183" s="1204"/>
      <c r="AT183" s="1204"/>
      <c r="AU183" s="1204"/>
      <c r="AV183" s="1204"/>
      <c r="AW183" s="1204"/>
      <c r="AX183" s="1204"/>
      <c r="AY183" s="1204"/>
      <c r="AZ183" s="1204"/>
      <c r="BA183" s="1204"/>
      <c r="BB183" s="1204"/>
      <c r="BC183" s="1204"/>
      <c r="BD183" s="1210"/>
      <c r="BE183" s="1210"/>
    </row>
    <row r="184" spans="1:57" ht="15.75" customHeight="1" thickBot="1">
      <c r="A184" s="1204"/>
      <c r="B184" s="1247"/>
      <c r="C184" s="1248"/>
      <c r="D184" s="1248"/>
      <c r="E184" s="1248"/>
      <c r="F184" s="1248"/>
      <c r="G184" s="1248"/>
      <c r="H184" s="2484" t="s">
        <v>1932</v>
      </c>
      <c r="I184" s="2484"/>
      <c r="J184" s="2484"/>
      <c r="K184" s="2484"/>
      <c r="L184" s="2484"/>
      <c r="M184" s="2484"/>
      <c r="N184" s="2484"/>
      <c r="O184" s="2484"/>
      <c r="P184" s="2484"/>
      <c r="Q184" s="2484"/>
      <c r="R184" s="2484"/>
      <c r="S184" s="2484"/>
      <c r="T184" s="2484"/>
      <c r="U184" s="2484"/>
      <c r="V184" s="2484"/>
      <c r="W184" s="2484"/>
      <c r="X184" s="2484"/>
      <c r="Y184" s="2484"/>
      <c r="Z184" s="2484"/>
      <c r="AA184" s="2484"/>
      <c r="AB184" s="2484"/>
      <c r="AC184" s="2484"/>
      <c r="AD184" s="2484"/>
      <c r="AE184" s="2484"/>
      <c r="AF184" s="2484"/>
      <c r="AG184" s="2484"/>
      <c r="AH184" s="2484"/>
      <c r="AI184" s="2484"/>
      <c r="AJ184" s="2484"/>
      <c r="AK184" s="2484"/>
      <c r="AL184" s="2484"/>
      <c r="AM184" s="2484"/>
      <c r="AN184" s="2484"/>
      <c r="AO184" s="2484"/>
      <c r="AP184" s="2484"/>
      <c r="AQ184" s="2484"/>
      <c r="AR184" s="2484"/>
      <c r="AS184" s="2484"/>
      <c r="AT184" s="2484"/>
      <c r="AU184" s="2484"/>
      <c r="AV184" s="2484"/>
      <c r="AW184" s="1248"/>
      <c r="AX184" s="1248"/>
      <c r="AY184" s="1248"/>
      <c r="AZ184" s="1248"/>
      <c r="BA184" s="1248"/>
      <c r="BB184" s="1248"/>
      <c r="BC184" s="1248"/>
      <c r="BD184" s="1249"/>
      <c r="BE184" s="1210"/>
    </row>
    <row r="185" spans="1:57" ht="15.75" customHeight="1" thickBot="1">
      <c r="A185" s="1204"/>
      <c r="B185" s="1250"/>
      <c r="C185" s="1219"/>
      <c r="D185" s="1219"/>
      <c r="E185" s="1219"/>
      <c r="F185" s="1219"/>
      <c r="G185" s="1219"/>
      <c r="H185" s="1219"/>
      <c r="I185" s="1219"/>
      <c r="J185" s="1219"/>
      <c r="K185" s="1219"/>
      <c r="L185" s="1219"/>
      <c r="M185" s="1219"/>
      <c r="N185" s="1219"/>
      <c r="O185" s="1219"/>
      <c r="P185" s="1219"/>
      <c r="Q185" s="1219"/>
      <c r="R185" s="1219"/>
      <c r="S185" s="1219"/>
      <c r="T185" s="1219"/>
      <c r="U185" s="1219"/>
      <c r="V185" s="1219"/>
      <c r="W185" s="1219"/>
      <c r="X185" s="1219"/>
      <c r="Y185" s="1219"/>
      <c r="Z185" s="1219"/>
      <c r="AA185" s="1219"/>
      <c r="AB185" s="1219"/>
      <c r="AC185" s="1219"/>
      <c r="AD185" s="1219"/>
      <c r="AE185" s="1219"/>
      <c r="AF185" s="1219"/>
      <c r="AG185" s="1219"/>
      <c r="AH185" s="1219"/>
      <c r="AI185" s="1219"/>
      <c r="AJ185" s="1219"/>
      <c r="AK185" s="1219"/>
      <c r="AL185" s="1219"/>
      <c r="AM185" s="1219"/>
      <c r="AN185" s="1219"/>
      <c r="AO185" s="1219"/>
      <c r="AP185" s="1219"/>
      <c r="AQ185" s="1219"/>
      <c r="AR185" s="1219"/>
      <c r="AS185" s="1219"/>
      <c r="AT185" s="1219"/>
      <c r="AU185" s="1219"/>
      <c r="AV185" s="1219"/>
      <c r="AW185" s="1219"/>
      <c r="AX185" s="1219"/>
      <c r="AY185" s="1219"/>
      <c r="AZ185" s="1219"/>
      <c r="BA185" s="1219"/>
      <c r="BB185" s="1219"/>
      <c r="BC185" s="1219"/>
      <c r="BD185" s="1251"/>
      <c r="BE185" s="1210"/>
    </row>
    <row r="186" spans="1:57" ht="30" customHeight="1" thickBot="1">
      <c r="A186" s="1204"/>
      <c r="B186" s="1250"/>
      <c r="C186" s="1219"/>
      <c r="D186" s="1219"/>
      <c r="E186" s="1219"/>
      <c r="F186" s="1219"/>
      <c r="G186" s="1219"/>
      <c r="H186" s="2474" t="s">
        <v>1933</v>
      </c>
      <c r="I186" s="2474"/>
      <c r="J186" s="2474"/>
      <c r="K186" s="2474"/>
      <c r="L186" s="1219"/>
      <c r="M186" s="1219"/>
      <c r="N186" s="1219"/>
      <c r="O186" s="1219"/>
      <c r="P186" s="1219"/>
      <c r="Q186" s="1219"/>
      <c r="R186" s="1219"/>
      <c r="S186" s="2485"/>
      <c r="T186" s="2481"/>
      <c r="U186" s="2481"/>
      <c r="V186" s="2481"/>
      <c r="W186" s="2481"/>
      <c r="X186" s="2481"/>
      <c r="Y186" s="2481"/>
      <c r="Z186" s="2481"/>
      <c r="AA186" s="2481"/>
      <c r="AB186" s="2481"/>
      <c r="AC186" s="2481"/>
      <c r="AD186" s="2481"/>
      <c r="AE186" s="2481"/>
      <c r="AF186" s="2481"/>
      <c r="AG186" s="2481"/>
      <c r="AH186" s="2481"/>
      <c r="AI186" s="2481"/>
      <c r="AJ186" s="2482"/>
      <c r="AK186" s="1219"/>
      <c r="AL186" s="1219"/>
      <c r="AM186" s="1219"/>
      <c r="AN186" s="1219"/>
      <c r="AO186" s="1219"/>
      <c r="AP186" s="1219"/>
      <c r="AQ186" s="1219"/>
      <c r="AR186" s="1219"/>
      <c r="AS186" s="1219"/>
      <c r="AT186" s="1219"/>
      <c r="AU186" s="1219"/>
      <c r="AV186" s="1219"/>
      <c r="AW186" s="1219"/>
      <c r="AX186" s="1219"/>
      <c r="AY186" s="1219"/>
      <c r="AZ186" s="1219"/>
      <c r="BA186" s="1219"/>
      <c r="BB186" s="1219"/>
      <c r="BC186" s="1219"/>
      <c r="BD186" s="1251"/>
      <c r="BE186" s="1210"/>
    </row>
    <row r="187" spans="1:57" ht="15.75" customHeight="1" thickBot="1">
      <c r="A187" s="1204"/>
      <c r="B187" s="1250"/>
      <c r="C187" s="1219"/>
      <c r="D187" s="1219"/>
      <c r="E187" s="1219"/>
      <c r="F187" s="1219"/>
      <c r="G187" s="1219"/>
      <c r="H187" s="1252"/>
      <c r="I187" s="1252"/>
      <c r="J187" s="1252"/>
      <c r="K187" s="1252"/>
      <c r="L187" s="1219"/>
      <c r="M187" s="1219"/>
      <c r="N187" s="1219"/>
      <c r="O187" s="1219"/>
      <c r="P187" s="1219"/>
      <c r="Q187" s="1219"/>
      <c r="R187" s="1219"/>
      <c r="S187" s="1219"/>
      <c r="T187" s="1219"/>
      <c r="U187" s="1219"/>
      <c r="V187" s="1219"/>
      <c r="W187" s="1219"/>
      <c r="X187" s="1219"/>
      <c r="Y187" s="1219"/>
      <c r="Z187" s="1219"/>
      <c r="AA187" s="1219"/>
      <c r="AB187" s="1219"/>
      <c r="AC187" s="1219"/>
      <c r="AD187" s="1219"/>
      <c r="AE187" s="1219"/>
      <c r="AF187" s="1219"/>
      <c r="AG187" s="1219"/>
      <c r="AH187" s="1219"/>
      <c r="AI187" s="1219"/>
      <c r="AJ187" s="1219"/>
      <c r="AK187" s="1219"/>
      <c r="AL187" s="1219"/>
      <c r="AM187" s="1219"/>
      <c r="AN187" s="1219"/>
      <c r="AO187" s="1219"/>
      <c r="AP187" s="1219"/>
      <c r="AQ187" s="1219"/>
      <c r="AR187" s="1219"/>
      <c r="AS187" s="1219"/>
      <c r="AT187" s="1219"/>
      <c r="AU187" s="1219"/>
      <c r="AV187" s="1219"/>
      <c r="AW187" s="1219"/>
      <c r="AX187" s="1219"/>
      <c r="AY187" s="1219"/>
      <c r="AZ187" s="1219"/>
      <c r="BA187" s="1219"/>
      <c r="BB187" s="1219"/>
      <c r="BC187" s="1219"/>
      <c r="BD187" s="1251"/>
      <c r="BE187" s="1210"/>
    </row>
    <row r="188" spans="1:57" ht="15.75" customHeight="1" thickBot="1">
      <c r="A188" s="1204"/>
      <c r="B188" s="1250"/>
      <c r="C188" s="1219"/>
      <c r="D188" s="1219"/>
      <c r="E188" s="1219"/>
      <c r="F188" s="1219"/>
      <c r="G188" s="1219"/>
      <c r="H188" s="2474" t="s">
        <v>1934</v>
      </c>
      <c r="I188" s="2474"/>
      <c r="J188" s="2474"/>
      <c r="K188" s="1252"/>
      <c r="L188" s="1219"/>
      <c r="M188" s="1219"/>
      <c r="N188" s="1219"/>
      <c r="O188" s="1219"/>
      <c r="P188" s="1219"/>
      <c r="Q188" s="1219"/>
      <c r="R188" s="1219"/>
      <c r="S188" s="2475" t="s">
        <v>2761</v>
      </c>
      <c r="T188" s="2476"/>
      <c r="U188" s="2476"/>
      <c r="V188" s="2476"/>
      <c r="W188" s="2476"/>
      <c r="X188" s="2476"/>
      <c r="Y188" s="2476"/>
      <c r="Z188" s="2476"/>
      <c r="AA188" s="2476"/>
      <c r="AB188" s="2476"/>
      <c r="AC188" s="2476"/>
      <c r="AD188" s="2476"/>
      <c r="AE188" s="2476"/>
      <c r="AF188" s="2476"/>
      <c r="AG188" s="2476"/>
      <c r="AH188" s="2476"/>
      <c r="AI188" s="2476"/>
      <c r="AJ188" s="2477"/>
      <c r="AK188" s="1219"/>
      <c r="AL188" s="1219"/>
      <c r="AM188" s="1219"/>
      <c r="AN188" s="1219"/>
      <c r="AO188" s="1219"/>
      <c r="AP188" s="1219"/>
      <c r="AQ188" s="1219"/>
      <c r="AR188" s="1219"/>
      <c r="AS188" s="1219"/>
      <c r="AT188" s="1219"/>
      <c r="AU188" s="1219"/>
      <c r="AV188" s="1219"/>
      <c r="AW188" s="1219"/>
      <c r="AX188" s="1219"/>
      <c r="AY188" s="1219"/>
      <c r="AZ188" s="1219"/>
      <c r="BA188" s="1219"/>
      <c r="BB188" s="1219"/>
      <c r="BC188" s="1219"/>
      <c r="BD188" s="1251"/>
      <c r="BE188" s="1210"/>
    </row>
    <row r="189" spans="1:57" ht="15.75" customHeight="1" thickBot="1">
      <c r="A189" s="1204"/>
      <c r="B189" s="1250"/>
      <c r="C189" s="1219"/>
      <c r="D189" s="1219"/>
      <c r="E189" s="1219"/>
      <c r="F189" s="1219"/>
      <c r="G189" s="1219"/>
      <c r="H189" s="1252"/>
      <c r="I189" s="1252"/>
      <c r="J189" s="1252"/>
      <c r="K189" s="1252"/>
      <c r="L189" s="1219"/>
      <c r="M189" s="1219"/>
      <c r="N189" s="1219"/>
      <c r="O189" s="1219"/>
      <c r="P189" s="1219"/>
      <c r="Q189" s="1219"/>
      <c r="R189" s="1219"/>
      <c r="S189" s="1219"/>
      <c r="T189" s="1219"/>
      <c r="U189" s="1219"/>
      <c r="V189" s="1219"/>
      <c r="W189" s="1219"/>
      <c r="X189" s="1219"/>
      <c r="Y189" s="1219"/>
      <c r="Z189" s="1219"/>
      <c r="AA189" s="1219"/>
      <c r="AB189" s="1219"/>
      <c r="AC189" s="1219"/>
      <c r="AD189" s="1219"/>
      <c r="AE189" s="1219"/>
      <c r="AF189" s="1219"/>
      <c r="AG189" s="1219"/>
      <c r="AH189" s="1219"/>
      <c r="AI189" s="1219"/>
      <c r="AJ189" s="1219"/>
      <c r="AK189" s="1219"/>
      <c r="AL189" s="1219"/>
      <c r="AM189" s="1219"/>
      <c r="AN189" s="1219"/>
      <c r="AO189" s="1219"/>
      <c r="AP189" s="1219"/>
      <c r="AQ189" s="1219"/>
      <c r="AR189" s="1219"/>
      <c r="AS189" s="1219"/>
      <c r="AT189" s="1219"/>
      <c r="AU189" s="1219"/>
      <c r="AV189" s="1219"/>
      <c r="AW189" s="1219"/>
      <c r="AX189" s="1219"/>
      <c r="AY189" s="1219"/>
      <c r="AZ189" s="1219"/>
      <c r="BA189" s="1219"/>
      <c r="BB189" s="1219"/>
      <c r="BC189" s="1219"/>
      <c r="BD189" s="1251"/>
      <c r="BE189" s="1210"/>
    </row>
    <row r="190" spans="1:57" ht="15.75" customHeight="1" thickBot="1">
      <c r="A190" s="1204"/>
      <c r="B190" s="1250"/>
      <c r="C190" s="1219"/>
      <c r="D190" s="1219"/>
      <c r="E190" s="1219"/>
      <c r="F190" s="1219"/>
      <c r="G190" s="1219"/>
      <c r="H190" s="2474" t="s">
        <v>445</v>
      </c>
      <c r="I190" s="2474"/>
      <c r="J190" s="1252"/>
      <c r="K190" s="1252"/>
      <c r="L190" s="1219"/>
      <c r="M190" s="1219"/>
      <c r="N190" s="1219"/>
      <c r="O190" s="1219"/>
      <c r="P190" s="1219"/>
      <c r="Q190" s="1219"/>
      <c r="R190" s="1219"/>
      <c r="S190" s="2475" t="s">
        <v>2762</v>
      </c>
      <c r="T190" s="2476"/>
      <c r="U190" s="2476"/>
      <c r="V190" s="2476"/>
      <c r="W190" s="2476"/>
      <c r="X190" s="2476"/>
      <c r="Y190" s="2476"/>
      <c r="Z190" s="2476"/>
      <c r="AA190" s="2476"/>
      <c r="AB190" s="2476"/>
      <c r="AC190" s="2476"/>
      <c r="AD190" s="2476"/>
      <c r="AE190" s="2476"/>
      <c r="AF190" s="2476"/>
      <c r="AG190" s="2476"/>
      <c r="AH190" s="2476"/>
      <c r="AI190" s="2476"/>
      <c r="AJ190" s="2477"/>
      <c r="AK190" s="1219"/>
      <c r="AL190" s="1219"/>
      <c r="AM190" s="1219"/>
      <c r="AN190" s="1219"/>
      <c r="AO190" s="1219"/>
      <c r="AP190" s="1219"/>
      <c r="AQ190" s="1219"/>
      <c r="AR190" s="1219"/>
      <c r="AS190" s="1219"/>
      <c r="AT190" s="1219"/>
      <c r="AU190" s="1219"/>
      <c r="AV190" s="1219"/>
      <c r="AW190" s="1219"/>
      <c r="AX190" s="1219"/>
      <c r="AY190" s="1219"/>
      <c r="AZ190" s="1219"/>
      <c r="BA190" s="1219"/>
      <c r="BB190" s="1219"/>
      <c r="BC190" s="1219"/>
      <c r="BD190" s="1251"/>
      <c r="BE190" s="1210"/>
    </row>
    <row r="191" spans="1:57" ht="15.75" customHeight="1" thickBot="1">
      <c r="A191" s="1204"/>
      <c r="B191" s="1250"/>
      <c r="C191" s="1219"/>
      <c r="D191" s="1219"/>
      <c r="E191" s="1219"/>
      <c r="F191" s="1219"/>
      <c r="G191" s="1219"/>
      <c r="H191" s="1219"/>
      <c r="I191" s="1219"/>
      <c r="J191" s="1219"/>
      <c r="K191" s="1219"/>
      <c r="L191" s="1219"/>
      <c r="M191" s="1219"/>
      <c r="N191" s="1219"/>
      <c r="O191" s="1219"/>
      <c r="P191" s="1219"/>
      <c r="Q191" s="1219"/>
      <c r="R191" s="1219"/>
      <c r="S191" s="1219"/>
      <c r="T191" s="1219"/>
      <c r="U191" s="1219"/>
      <c r="V191" s="1219"/>
      <c r="W191" s="1219"/>
      <c r="X191" s="1219"/>
      <c r="Y191" s="1219"/>
      <c r="Z191" s="1219"/>
      <c r="AA191" s="1219"/>
      <c r="AB191" s="1219"/>
      <c r="AC191" s="1219"/>
      <c r="AD191" s="1219"/>
      <c r="AE191" s="1219"/>
      <c r="AF191" s="1219"/>
      <c r="AG191" s="1219"/>
      <c r="AH191" s="1219"/>
      <c r="AI191" s="1219"/>
      <c r="AJ191" s="1219"/>
      <c r="AK191" s="1219"/>
      <c r="AL191" s="1219"/>
      <c r="AM191" s="1219"/>
      <c r="AN191" s="1219"/>
      <c r="AO191" s="1219"/>
      <c r="AP191" s="1219"/>
      <c r="AQ191" s="1219"/>
      <c r="AR191" s="1219"/>
      <c r="AS191" s="1219"/>
      <c r="AT191" s="1219"/>
      <c r="AU191" s="1219"/>
      <c r="AV191" s="1219"/>
      <c r="AW191" s="1219"/>
      <c r="AX191" s="1219"/>
      <c r="AY191" s="1219"/>
      <c r="AZ191" s="1219"/>
      <c r="BA191" s="1219"/>
      <c r="BB191" s="1219"/>
      <c r="BC191" s="1219"/>
      <c r="BD191" s="1251"/>
      <c r="BE191" s="1210"/>
    </row>
    <row r="192" spans="1:57" ht="15.75" customHeight="1" thickBot="1">
      <c r="A192" s="1204"/>
      <c r="B192" s="1250"/>
      <c r="C192" s="1219"/>
      <c r="D192" s="1219"/>
      <c r="E192" s="1219"/>
      <c r="F192" s="1219"/>
      <c r="G192" s="1219"/>
      <c r="H192" s="2478" t="s">
        <v>1935</v>
      </c>
      <c r="I192" s="2478"/>
      <c r="J192" s="2478"/>
      <c r="K192" s="2478"/>
      <c r="L192" s="2478"/>
      <c r="M192" s="2478"/>
      <c r="N192" s="2478"/>
      <c r="O192" s="2478"/>
      <c r="P192" s="1219"/>
      <c r="Q192" s="1219"/>
      <c r="R192" s="1219"/>
      <c r="S192" s="2475" t="s">
        <v>2641</v>
      </c>
      <c r="T192" s="2476"/>
      <c r="U192" s="2476"/>
      <c r="V192" s="2476"/>
      <c r="W192" s="2476"/>
      <c r="X192" s="2476"/>
      <c r="Y192" s="2476"/>
      <c r="Z192" s="2476"/>
      <c r="AA192" s="2476"/>
      <c r="AB192" s="2476"/>
      <c r="AC192" s="2476"/>
      <c r="AD192" s="2476"/>
      <c r="AE192" s="2476"/>
      <c r="AF192" s="2476"/>
      <c r="AG192" s="2476"/>
      <c r="AH192" s="2476"/>
      <c r="AI192" s="2476"/>
      <c r="AJ192" s="2477"/>
      <c r="AK192" s="1219"/>
      <c r="AL192" s="1219"/>
      <c r="AM192" s="1219"/>
      <c r="AN192" s="1219"/>
      <c r="AO192" s="1219"/>
      <c r="AP192" s="1219"/>
      <c r="AQ192" s="1219"/>
      <c r="AR192" s="1219"/>
      <c r="AS192" s="1219"/>
      <c r="AT192" s="1219"/>
      <c r="AU192" s="1219"/>
      <c r="AV192" s="1219"/>
      <c r="AW192" s="1219"/>
      <c r="AX192" s="1219"/>
      <c r="AY192" s="1219"/>
      <c r="AZ192" s="1219"/>
      <c r="BA192" s="1219"/>
      <c r="BB192" s="1219"/>
      <c r="BC192" s="1219"/>
      <c r="BD192" s="1251"/>
      <c r="BE192" s="1210"/>
    </row>
    <row r="193" spans="1:57" ht="15.75" customHeight="1" thickBot="1">
      <c r="A193" s="1204"/>
      <c r="B193" s="1250"/>
      <c r="C193" s="1219"/>
      <c r="D193" s="1219"/>
      <c r="E193" s="1219"/>
      <c r="F193" s="1219"/>
      <c r="G193" s="1219"/>
      <c r="H193" s="1219"/>
      <c r="I193" s="1219"/>
      <c r="J193" s="1219"/>
      <c r="K193" s="1219"/>
      <c r="L193" s="1219"/>
      <c r="M193" s="1219"/>
      <c r="N193" s="1219"/>
      <c r="O193" s="1219"/>
      <c r="P193" s="1219"/>
      <c r="Q193" s="1219"/>
      <c r="R193" s="1219"/>
      <c r="S193" s="1219"/>
      <c r="T193" s="1219"/>
      <c r="U193" s="1219"/>
      <c r="V193" s="1219"/>
      <c r="W193" s="1219"/>
      <c r="X193" s="1219"/>
      <c r="Y193" s="1219"/>
      <c r="Z193" s="1219"/>
      <c r="AA193" s="1219"/>
      <c r="AB193" s="1219"/>
      <c r="AC193" s="1219"/>
      <c r="AD193" s="1219"/>
      <c r="AE193" s="1219"/>
      <c r="AF193" s="1219"/>
      <c r="AG193" s="1219"/>
      <c r="AH193" s="1219"/>
      <c r="AI193" s="1219"/>
      <c r="AJ193" s="1219"/>
      <c r="AK193" s="1219"/>
      <c r="AL193" s="1219"/>
      <c r="AM193" s="1219"/>
      <c r="AN193" s="1219"/>
      <c r="AO193" s="1219"/>
      <c r="AP193" s="1219"/>
      <c r="AQ193" s="1219"/>
      <c r="AR193" s="1219"/>
      <c r="AS193" s="1219"/>
      <c r="AT193" s="1219"/>
      <c r="AU193" s="1219"/>
      <c r="AV193" s="1219"/>
      <c r="AW193" s="1219"/>
      <c r="AX193" s="1219"/>
      <c r="AY193" s="1219"/>
      <c r="AZ193" s="1219"/>
      <c r="BA193" s="1219"/>
      <c r="BB193" s="1219"/>
      <c r="BC193" s="1219"/>
      <c r="BD193" s="1251"/>
      <c r="BE193" s="1210"/>
    </row>
    <row r="194" spans="1:57" ht="15.75" customHeight="1" thickBot="1">
      <c r="A194" s="1204"/>
      <c r="B194" s="1250"/>
      <c r="C194" s="1219"/>
      <c r="D194" s="1219"/>
      <c r="E194" s="1219"/>
      <c r="F194" s="1219"/>
      <c r="G194" s="1219"/>
      <c r="H194" s="2479" t="s">
        <v>1936</v>
      </c>
      <c r="I194" s="2479"/>
      <c r="J194" s="1219"/>
      <c r="K194" s="1219"/>
      <c r="L194" s="1219"/>
      <c r="M194" s="1219"/>
      <c r="N194" s="1219"/>
      <c r="O194" s="1219"/>
      <c r="P194" s="1219"/>
      <c r="Q194" s="1219"/>
      <c r="R194" s="1219"/>
      <c r="S194" s="2480">
        <v>45009</v>
      </c>
      <c r="T194" s="2481"/>
      <c r="U194" s="2481"/>
      <c r="V194" s="2481"/>
      <c r="W194" s="2481"/>
      <c r="X194" s="2481"/>
      <c r="Y194" s="2481"/>
      <c r="Z194" s="2481"/>
      <c r="AA194" s="2481"/>
      <c r="AB194" s="2481"/>
      <c r="AC194" s="2481"/>
      <c r="AD194" s="2481"/>
      <c r="AE194" s="2481"/>
      <c r="AF194" s="2481"/>
      <c r="AG194" s="2481"/>
      <c r="AH194" s="2481"/>
      <c r="AI194" s="2481"/>
      <c r="AJ194" s="2482"/>
      <c r="AK194" s="1219"/>
      <c r="AL194" s="1219"/>
      <c r="AM194" s="1219"/>
      <c r="AN194" s="1219"/>
      <c r="AO194" s="1219"/>
      <c r="AP194" s="1219"/>
      <c r="AQ194" s="1219"/>
      <c r="AR194" s="1219"/>
      <c r="AS194" s="1219"/>
      <c r="AT194" s="1219"/>
      <c r="AU194" s="1219"/>
      <c r="AV194" s="1219"/>
      <c r="AW194" s="1219"/>
      <c r="AX194" s="1219"/>
      <c r="AY194" s="1219"/>
      <c r="AZ194" s="1219"/>
      <c r="BA194" s="1219"/>
      <c r="BB194" s="1219"/>
      <c r="BC194" s="1219"/>
      <c r="BD194" s="1251"/>
      <c r="BE194" s="1210"/>
    </row>
    <row r="195" spans="1:57" ht="15.75" customHeight="1" thickBot="1">
      <c r="A195" s="1204"/>
      <c r="B195" s="1253"/>
      <c r="C195" s="1254"/>
      <c r="D195" s="1254"/>
      <c r="E195" s="1254"/>
      <c r="F195" s="1254"/>
      <c r="G195" s="1254"/>
      <c r="H195" s="1254"/>
      <c r="I195" s="1254"/>
      <c r="J195" s="1254"/>
      <c r="K195" s="1254"/>
      <c r="L195" s="1254"/>
      <c r="M195" s="1254"/>
      <c r="N195" s="1254"/>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5"/>
      <c r="BE195" s="1210"/>
    </row>
    <row r="196" spans="1:57" ht="15.75" customHeight="1" thickBot="1">
      <c r="A196" s="1248"/>
      <c r="B196" s="1248"/>
      <c r="C196" s="1248"/>
      <c r="D196" s="1248"/>
      <c r="E196" s="1248"/>
      <c r="F196" s="1248"/>
      <c r="G196" s="1248"/>
      <c r="H196" s="1248"/>
      <c r="I196" s="1248"/>
      <c r="J196" s="1248"/>
      <c r="K196" s="1248"/>
      <c r="L196" s="1248"/>
      <c r="M196" s="1248"/>
      <c r="N196" s="1248"/>
      <c r="O196" s="1248"/>
      <c r="P196" s="1248"/>
      <c r="Q196" s="1248"/>
      <c r="R196" s="1248"/>
      <c r="S196" s="1248"/>
      <c r="T196" s="1248"/>
      <c r="U196" s="1248"/>
      <c r="V196" s="1248"/>
      <c r="W196" s="1248"/>
      <c r="X196" s="1248"/>
      <c r="Y196" s="1248"/>
      <c r="Z196" s="1248"/>
      <c r="AA196" s="1248"/>
      <c r="AB196" s="1248"/>
      <c r="AC196" s="1248"/>
      <c r="AD196" s="1248"/>
      <c r="AE196" s="1248"/>
      <c r="AF196" s="1248"/>
      <c r="AG196" s="1248"/>
      <c r="AH196" s="1248"/>
      <c r="AI196" s="1248"/>
      <c r="AJ196" s="1248"/>
      <c r="AK196" s="1248"/>
      <c r="AL196" s="1248"/>
      <c r="AM196" s="1248"/>
      <c r="AN196" s="1248"/>
      <c r="AO196" s="1248"/>
      <c r="AP196" s="1248"/>
      <c r="AQ196" s="1248"/>
      <c r="AR196" s="1248"/>
      <c r="AS196" s="1248"/>
      <c r="AT196" s="1248"/>
      <c r="AU196" s="1248"/>
      <c r="AV196" s="1248"/>
      <c r="AW196" s="1248"/>
      <c r="AX196" s="1248"/>
      <c r="AY196" s="1248"/>
      <c r="AZ196" s="1248"/>
      <c r="BA196" s="1248"/>
      <c r="BB196" s="1248"/>
      <c r="BC196" s="1248"/>
      <c r="BD196" s="1248"/>
      <c r="BE196" s="1249"/>
    </row>
    <row r="199" spans="1:57" ht="15.75" customHeight="1">
      <c r="D199" s="1202"/>
    </row>
    <row r="200" spans="1:57" ht="15.75" customHeight="1">
      <c r="D200" s="1256"/>
    </row>
    <row r="201" spans="1:57" ht="15.75" customHeight="1">
      <c r="D201" s="1202"/>
    </row>
    <row r="202" spans="1:57" ht="15.75" customHeight="1">
      <c r="D202" s="1202"/>
    </row>
    <row r="203" spans="1:57" ht="15.75" customHeight="1">
      <c r="R203" s="1201"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0" zoomScaleNormal="100" zoomScaleSheetLayoutView="100" workbookViewId="0">
      <selection activeCell="AB49" sqref="AB49:AF49"/>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17" t="s">
        <v>1446</v>
      </c>
      <c r="B1" s="2517"/>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17"/>
      <c r="AN1" s="2517"/>
    </row>
    <row r="2" spans="1:40" ht="12.95" customHeight="1" thickBot="1">
      <c r="A2" s="2518"/>
      <c r="B2" s="2518"/>
      <c r="C2" s="2518"/>
      <c r="D2" s="2518"/>
      <c r="E2" s="2518"/>
      <c r="F2" s="2518"/>
      <c r="G2" s="2518"/>
      <c r="H2" s="2518"/>
      <c r="I2" s="2518"/>
      <c r="J2" s="2518"/>
      <c r="K2" s="2518"/>
      <c r="L2" s="2518"/>
      <c r="M2" s="2518"/>
      <c r="N2" s="2518"/>
      <c r="O2" s="2518"/>
      <c r="P2" s="2518"/>
      <c r="Q2" s="2518"/>
      <c r="R2" s="2518"/>
      <c r="S2" s="2518"/>
      <c r="T2" s="2518"/>
      <c r="U2" s="2518"/>
      <c r="V2" s="2518"/>
      <c r="W2" s="2518"/>
      <c r="X2" s="2518"/>
      <c r="Y2" s="2518"/>
      <c r="Z2" s="2518"/>
      <c r="AA2" s="2518"/>
      <c r="AB2" s="2518"/>
      <c r="AC2" s="2518"/>
      <c r="AD2" s="2518"/>
      <c r="AE2" s="2518"/>
      <c r="AF2" s="2518"/>
      <c r="AG2" s="2518"/>
      <c r="AH2" s="2518"/>
      <c r="AI2" s="2518"/>
      <c r="AJ2" s="2518"/>
      <c r="AK2" s="2518"/>
      <c r="AL2" s="2518"/>
      <c r="AM2" s="2518"/>
      <c r="AN2" s="2518"/>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19" t="str">
        <f xml:space="preserve"> IF(T25=100%,'Sources and Basis Breakdown'!G2,'Sources and Basis Breakdown'!F2)</f>
        <v>30% PVC for New Const/
Rehabilitation
DDA/QCT
Building(s)</v>
      </c>
      <c r="U7" s="2519"/>
      <c r="V7" s="2519"/>
      <c r="W7" s="2519"/>
      <c r="X7" s="2519"/>
      <c r="Y7" s="2519" t="str">
        <f>IF(T25=100%," ",'Sources and Basis Breakdown'!G2)</f>
        <v>30% PVC for New Const/
Rehabilitation
NON-DDA/
NON-QCT Building(s)</v>
      </c>
      <c r="Z7" s="2519"/>
      <c r="AA7" s="2519"/>
      <c r="AB7" s="2519"/>
      <c r="AC7" s="2519"/>
      <c r="AD7" s="2519" t="str">
        <f xml:space="preserve"> IF(T25=100%, 'Sources and Basis Breakdown'!J2,'Sources and Basis Breakdown'!I2)</f>
        <v>30% PVC for Acquisition
DDA/QCT Building(s)</v>
      </c>
      <c r="AE7" s="2519"/>
      <c r="AF7" s="2519"/>
      <c r="AG7" s="2519"/>
      <c r="AH7" s="2519"/>
      <c r="AI7" s="2519" t="str">
        <f>IF(T25=100%," ",'Sources and Basis Breakdown'!J2)</f>
        <v>30% PVC for Acquisition
NON-DDA/
NON-QCT Building(s)</v>
      </c>
      <c r="AJ7" s="2519"/>
      <c r="AK7" s="2519"/>
      <c r="AL7" s="2519"/>
      <c r="AM7" s="2519"/>
    </row>
    <row r="8" spans="1:40" ht="12.95" customHeight="1">
      <c r="B8" s="439"/>
      <c r="T8" s="2519"/>
      <c r="U8" s="2519"/>
      <c r="V8" s="2519"/>
      <c r="W8" s="2519"/>
      <c r="X8" s="2519"/>
      <c r="Y8" s="2519"/>
      <c r="Z8" s="2519"/>
      <c r="AA8" s="2519"/>
      <c r="AB8" s="2519"/>
      <c r="AC8" s="2519"/>
      <c r="AD8" s="2519"/>
      <c r="AE8" s="2519"/>
      <c r="AF8" s="2519"/>
      <c r="AG8" s="2519"/>
      <c r="AH8" s="2519"/>
      <c r="AI8" s="2519"/>
      <c r="AJ8" s="2519"/>
      <c r="AK8" s="2519"/>
      <c r="AL8" s="2519"/>
      <c r="AM8" s="2519"/>
    </row>
    <row r="9" spans="1:40" ht="12.95" customHeight="1">
      <c r="B9" s="439"/>
      <c r="T9" s="2519"/>
      <c r="U9" s="2519"/>
      <c r="V9" s="2519"/>
      <c r="W9" s="2519"/>
      <c r="X9" s="2519"/>
      <c r="Y9" s="2519"/>
      <c r="Z9" s="2519"/>
      <c r="AA9" s="2519"/>
      <c r="AB9" s="2519"/>
      <c r="AC9" s="2519"/>
      <c r="AD9" s="2519"/>
      <c r="AE9" s="2519"/>
      <c r="AF9" s="2519"/>
      <c r="AG9" s="2519"/>
      <c r="AH9" s="2519"/>
      <c r="AI9" s="2519"/>
      <c r="AJ9" s="2519"/>
      <c r="AK9" s="2519"/>
      <c r="AL9" s="2519"/>
      <c r="AM9" s="2519"/>
    </row>
    <row r="10" spans="1:40" ht="12.95" customHeight="1">
      <c r="B10" s="440"/>
      <c r="C10" s="441"/>
      <c r="D10" s="441"/>
      <c r="E10" s="441"/>
      <c r="F10" s="441"/>
      <c r="G10" s="441"/>
      <c r="H10" s="441"/>
      <c r="I10" s="441"/>
      <c r="J10" s="441"/>
      <c r="K10" s="441"/>
      <c r="L10" s="441"/>
      <c r="M10" s="441"/>
      <c r="N10" s="441"/>
      <c r="O10" s="441"/>
      <c r="P10" s="441"/>
      <c r="Q10" s="441"/>
      <c r="R10" s="441"/>
      <c r="S10" s="441"/>
      <c r="T10" s="2519"/>
      <c r="U10" s="2519"/>
      <c r="V10" s="2519"/>
      <c r="W10" s="2519"/>
      <c r="X10" s="2519"/>
      <c r="Y10" s="2519"/>
      <c r="Z10" s="2519"/>
      <c r="AA10" s="2519"/>
      <c r="AB10" s="2519"/>
      <c r="AC10" s="2519"/>
      <c r="AD10" s="2519"/>
      <c r="AE10" s="2519"/>
      <c r="AF10" s="2519"/>
      <c r="AG10" s="2519"/>
      <c r="AH10" s="2519"/>
      <c r="AI10" s="2519"/>
      <c r="AJ10" s="2519"/>
      <c r="AK10" s="2519"/>
      <c r="AL10" s="2519"/>
      <c r="AM10" s="2519"/>
    </row>
    <row r="11" spans="1:40" ht="12.95" customHeight="1">
      <c r="B11" s="2498" t="s">
        <v>377</v>
      </c>
      <c r="C11" s="2499"/>
      <c r="D11" s="2499"/>
      <c r="E11" s="2499"/>
      <c r="F11" s="2499"/>
      <c r="G11" s="2499"/>
      <c r="H11" s="2499"/>
      <c r="I11" s="2499"/>
      <c r="J11" s="2499"/>
      <c r="K11" s="2499"/>
      <c r="L11" s="2499"/>
      <c r="M11" s="2499"/>
      <c r="N11" s="2499"/>
      <c r="O11" s="2499"/>
      <c r="P11" s="2499"/>
      <c r="Q11" s="2499"/>
      <c r="R11" s="2499"/>
      <c r="S11" s="2500"/>
      <c r="T11" s="2520">
        <f>IF('Sources and Basis Breakdown'!F107=0,'Sources and Basis Breakdown'!E107,'Sources and Basis Breakdown'!F107)</f>
        <v>64595520</v>
      </c>
      <c r="U11" s="2521"/>
      <c r="V11" s="2521"/>
      <c r="W11" s="2521"/>
      <c r="X11" s="2521"/>
      <c r="Y11" s="2520">
        <f>IF(Y7=" ",0,IF('Sources and Basis Breakdown'!G107+'Sources and Basis Breakdown'!F107='Sources and Basis Breakdown'!E107,'Sources and Basis Breakdown'!G107,0))</f>
        <v>0</v>
      </c>
      <c r="Z11" s="2521"/>
      <c r="AA11" s="2521"/>
      <c r="AB11" s="2521"/>
      <c r="AC11" s="2521"/>
      <c r="AD11" s="2521">
        <f>IF('Sources and Basis Breakdown'!I107=0,'Sources and Basis Breakdown'!H107,'Sources and Basis Breakdown'!I107)</f>
        <v>0</v>
      </c>
      <c r="AE11" s="2521"/>
      <c r="AF11" s="2521"/>
      <c r="AG11" s="2521"/>
      <c r="AH11" s="2521"/>
      <c r="AI11" s="2521">
        <f>IF(Y7=" ",0,IF('Sources and Basis Breakdown'!I107+'Sources and Basis Breakdown'!J107='Sources and Basis Breakdown'!H107,'Sources and Basis Breakdown'!J107,0))</f>
        <v>0</v>
      </c>
      <c r="AJ11" s="2521"/>
      <c r="AK11" s="2521"/>
      <c r="AL11" s="2521"/>
      <c r="AM11" s="2521"/>
    </row>
    <row r="12" spans="1:40" ht="12.95" customHeight="1">
      <c r="B12" s="2513" t="s">
        <v>507</v>
      </c>
      <c r="C12" s="1283"/>
      <c r="D12" s="1283"/>
      <c r="E12" s="1283"/>
      <c r="F12" s="1283"/>
      <c r="G12" s="1283"/>
      <c r="H12" s="1283"/>
      <c r="I12" s="1283"/>
      <c r="J12" s="1283"/>
      <c r="K12" s="1283"/>
      <c r="L12" s="1283"/>
      <c r="M12" s="1283"/>
      <c r="N12" s="1283"/>
      <c r="O12" s="1283"/>
      <c r="P12" s="1283"/>
      <c r="Q12" s="1283"/>
      <c r="R12" s="1283"/>
      <c r="S12" s="2514"/>
      <c r="T12" s="2486"/>
      <c r="U12" s="2487"/>
      <c r="V12" s="2487"/>
      <c r="W12" s="2487"/>
      <c r="X12" s="2488"/>
      <c r="Y12" s="2486"/>
      <c r="Z12" s="2487"/>
      <c r="AA12" s="2487"/>
      <c r="AB12" s="2487"/>
      <c r="AC12" s="2488"/>
      <c r="AD12" s="2486"/>
      <c r="AE12" s="2487"/>
      <c r="AF12" s="2487"/>
      <c r="AG12" s="2487"/>
      <c r="AH12" s="2488"/>
      <c r="AI12" s="2486"/>
      <c r="AJ12" s="2487"/>
      <c r="AK12" s="2487"/>
      <c r="AL12" s="2487"/>
      <c r="AM12" s="2488"/>
    </row>
    <row r="13" spans="1:40" ht="12.95" customHeight="1">
      <c r="B13" s="468"/>
      <c r="C13" s="2515" t="s">
        <v>508</v>
      </c>
      <c r="D13" s="2515"/>
      <c r="E13" s="2515"/>
      <c r="F13" s="2515"/>
      <c r="G13" s="2515"/>
      <c r="H13" s="2515"/>
      <c r="I13" s="2515"/>
      <c r="J13" s="2515"/>
      <c r="K13" s="2515"/>
      <c r="L13" s="2515"/>
      <c r="M13" s="2515"/>
      <c r="N13" s="2515"/>
      <c r="O13" s="2515"/>
      <c r="P13" s="2515"/>
      <c r="Q13" s="2515"/>
      <c r="R13" s="2515"/>
      <c r="S13" s="2516"/>
      <c r="T13" s="2522"/>
      <c r="U13" s="2523"/>
      <c r="V13" s="2523"/>
      <c r="W13" s="2523"/>
      <c r="X13" s="2523"/>
      <c r="Y13" s="2522"/>
      <c r="Z13" s="2523"/>
      <c r="AA13" s="2523"/>
      <c r="AB13" s="2523"/>
      <c r="AC13" s="2523"/>
      <c r="AD13" s="2523"/>
      <c r="AE13" s="2523"/>
      <c r="AF13" s="2523"/>
      <c r="AG13" s="2523"/>
      <c r="AH13" s="2523"/>
      <c r="AI13" s="2523"/>
      <c r="AJ13" s="2523"/>
      <c r="AK13" s="2523"/>
      <c r="AL13" s="2523"/>
      <c r="AM13" s="2523"/>
    </row>
    <row r="14" spans="1:40" ht="12.95" customHeight="1">
      <c r="B14" s="468"/>
      <c r="C14" s="2515" t="s">
        <v>509</v>
      </c>
      <c r="D14" s="2515"/>
      <c r="E14" s="2515"/>
      <c r="F14" s="2515"/>
      <c r="G14" s="2515"/>
      <c r="H14" s="2515"/>
      <c r="I14" s="2515"/>
      <c r="J14" s="2515"/>
      <c r="K14" s="2515"/>
      <c r="L14" s="2515"/>
      <c r="M14" s="2515"/>
      <c r="N14" s="2515"/>
      <c r="O14" s="2515"/>
      <c r="P14" s="2515"/>
      <c r="Q14" s="2515"/>
      <c r="R14" s="2515"/>
      <c r="S14" s="2516"/>
      <c r="T14" s="2489"/>
      <c r="U14" s="2490"/>
      <c r="V14" s="2490"/>
      <c r="W14" s="2490"/>
      <c r="X14" s="2490"/>
      <c r="Y14" s="2489"/>
      <c r="Z14" s="2490"/>
      <c r="AA14" s="2490"/>
      <c r="AB14" s="2490"/>
      <c r="AC14" s="2490"/>
      <c r="AD14" s="2490"/>
      <c r="AE14" s="2490"/>
      <c r="AF14" s="2490"/>
      <c r="AG14" s="2490"/>
      <c r="AH14" s="2490"/>
      <c r="AI14" s="2490"/>
      <c r="AJ14" s="2490"/>
      <c r="AK14" s="2490"/>
      <c r="AL14" s="2490"/>
      <c r="AM14" s="2490"/>
    </row>
    <row r="15" spans="1:40" ht="12.95" customHeight="1">
      <c r="B15" s="468"/>
      <c r="C15" s="2515" t="s">
        <v>510</v>
      </c>
      <c r="D15" s="2515"/>
      <c r="E15" s="2515"/>
      <c r="F15" s="2515"/>
      <c r="G15" s="2515"/>
      <c r="H15" s="2515"/>
      <c r="I15" s="2515"/>
      <c r="J15" s="2515"/>
      <c r="K15" s="2515"/>
      <c r="L15" s="2515"/>
      <c r="M15" s="2515"/>
      <c r="N15" s="2515"/>
      <c r="O15" s="2515"/>
      <c r="P15" s="2515"/>
      <c r="Q15" s="2515"/>
      <c r="R15" s="2515"/>
      <c r="S15" s="2516"/>
      <c r="T15" s="2489"/>
      <c r="U15" s="2490"/>
      <c r="V15" s="2490"/>
      <c r="W15" s="2490"/>
      <c r="X15" s="2490"/>
      <c r="Y15" s="2489"/>
      <c r="Z15" s="2490"/>
      <c r="AA15" s="2490"/>
      <c r="AB15" s="2490"/>
      <c r="AC15" s="2490"/>
      <c r="AD15" s="2490"/>
      <c r="AE15" s="2490"/>
      <c r="AF15" s="2490"/>
      <c r="AG15" s="2490"/>
      <c r="AH15" s="2490"/>
      <c r="AI15" s="2490"/>
      <c r="AJ15" s="2490"/>
      <c r="AK15" s="2490"/>
      <c r="AL15" s="2490"/>
      <c r="AM15" s="2490"/>
    </row>
    <row r="16" spans="1:40" ht="12.95" customHeight="1">
      <c r="B16" s="468"/>
      <c r="C16" s="2515" t="s">
        <v>831</v>
      </c>
      <c r="D16" s="2515"/>
      <c r="E16" s="2515"/>
      <c r="F16" s="2515"/>
      <c r="G16" s="2515"/>
      <c r="H16" s="2515"/>
      <c r="I16" s="2515"/>
      <c r="J16" s="2515"/>
      <c r="K16" s="2515"/>
      <c r="L16" s="2515"/>
      <c r="M16" s="2515"/>
      <c r="N16" s="2515"/>
      <c r="O16" s="2515"/>
      <c r="P16" s="2515"/>
      <c r="Q16" s="2515"/>
      <c r="R16" s="2515"/>
      <c r="S16" s="2516"/>
      <c r="T16" s="2489"/>
      <c r="U16" s="2490"/>
      <c r="V16" s="2490"/>
      <c r="W16" s="2490"/>
      <c r="X16" s="2490"/>
      <c r="Y16" s="2489"/>
      <c r="Z16" s="2490"/>
      <c r="AA16" s="2490"/>
      <c r="AB16" s="2490"/>
      <c r="AC16" s="2490"/>
      <c r="AD16" s="2490"/>
      <c r="AE16" s="2490"/>
      <c r="AF16" s="2490"/>
      <c r="AG16" s="2490"/>
      <c r="AH16" s="2490"/>
      <c r="AI16" s="2490"/>
      <c r="AJ16" s="2490"/>
      <c r="AK16" s="2490"/>
      <c r="AL16" s="2490"/>
      <c r="AM16" s="2490"/>
    </row>
    <row r="17" spans="1:40" ht="12.95" customHeight="1">
      <c r="B17" s="468"/>
      <c r="C17" s="2515" t="s">
        <v>511</v>
      </c>
      <c r="D17" s="2515"/>
      <c r="E17" s="2515"/>
      <c r="F17" s="2515"/>
      <c r="G17" s="2515"/>
      <c r="H17" s="2515"/>
      <c r="I17" s="2515"/>
      <c r="J17" s="2515"/>
      <c r="K17" s="2515"/>
      <c r="L17" s="2515"/>
      <c r="M17" s="2515"/>
      <c r="N17" s="2515"/>
      <c r="O17" s="2515"/>
      <c r="P17" s="2515"/>
      <c r="Q17" s="2515"/>
      <c r="R17" s="2515"/>
      <c r="S17" s="2516"/>
      <c r="T17" s="2489"/>
      <c r="U17" s="2490"/>
      <c r="V17" s="2490"/>
      <c r="W17" s="2490"/>
      <c r="X17" s="2490"/>
      <c r="Y17" s="2489"/>
      <c r="Z17" s="2490"/>
      <c r="AA17" s="2490"/>
      <c r="AB17" s="2490"/>
      <c r="AC17" s="2490"/>
      <c r="AD17" s="2490"/>
      <c r="AE17" s="2490"/>
      <c r="AF17" s="2490"/>
      <c r="AG17" s="2490"/>
      <c r="AH17" s="2490"/>
      <c r="AI17" s="2490"/>
      <c r="AJ17" s="2490"/>
      <c r="AK17" s="2490"/>
      <c r="AL17" s="2490"/>
      <c r="AM17" s="2490"/>
    </row>
    <row r="18" spans="1:40" ht="12.95" customHeight="1">
      <c r="A18"/>
      <c r="B18" s="1200"/>
      <c r="C18" s="1659" t="s">
        <v>1001</v>
      </c>
      <c r="D18" s="1659"/>
      <c r="E18" s="1659"/>
      <c r="F18" s="1659"/>
      <c r="G18" s="1659"/>
      <c r="H18" s="1659"/>
      <c r="I18" s="1659"/>
      <c r="J18" s="1659"/>
      <c r="K18" s="1659"/>
      <c r="L18" s="1659"/>
      <c r="M18" s="1659"/>
      <c r="N18" s="1659"/>
      <c r="O18" s="1659"/>
      <c r="P18" s="1659"/>
      <c r="Q18" s="1659"/>
      <c r="R18" s="1659"/>
      <c r="S18" s="1660"/>
      <c r="T18" s="2489"/>
      <c r="U18" s="2490"/>
      <c r="V18" s="2490"/>
      <c r="W18" s="2490"/>
      <c r="X18" s="2490"/>
      <c r="Y18" s="2489"/>
      <c r="Z18" s="2490"/>
      <c r="AA18" s="2490"/>
      <c r="AB18" s="2490"/>
      <c r="AC18" s="2490"/>
      <c r="AD18" s="2490"/>
      <c r="AE18" s="2490"/>
      <c r="AF18" s="2490"/>
      <c r="AG18" s="2490"/>
      <c r="AH18" s="2490"/>
      <c r="AI18" s="2490"/>
      <c r="AJ18" s="2490"/>
      <c r="AK18" s="2490"/>
      <c r="AL18" s="2490"/>
      <c r="AM18" s="2490"/>
    </row>
    <row r="19" spans="1:40" ht="12.95" customHeight="1">
      <c r="B19" s="1200"/>
      <c r="C19" s="1659" t="s">
        <v>1001</v>
      </c>
      <c r="D19" s="1659"/>
      <c r="E19" s="1659"/>
      <c r="F19" s="1659"/>
      <c r="G19" s="1659"/>
      <c r="H19" s="1659"/>
      <c r="I19" s="1659"/>
      <c r="J19" s="1659"/>
      <c r="K19" s="1659"/>
      <c r="L19" s="1659"/>
      <c r="M19" s="1659"/>
      <c r="N19" s="1659"/>
      <c r="O19" s="1659"/>
      <c r="P19" s="1659"/>
      <c r="Q19" s="1659"/>
      <c r="R19" s="1659"/>
      <c r="S19" s="1660"/>
      <c r="T19" s="2489"/>
      <c r="U19" s="2490"/>
      <c r="V19" s="2490"/>
      <c r="W19" s="2490"/>
      <c r="X19" s="2490"/>
      <c r="Y19" s="2489"/>
      <c r="Z19" s="2490"/>
      <c r="AA19" s="2490"/>
      <c r="AB19" s="2490"/>
      <c r="AC19" s="2490"/>
      <c r="AD19" s="2490"/>
      <c r="AE19" s="2490"/>
      <c r="AF19" s="2490"/>
      <c r="AG19" s="2490"/>
      <c r="AH19" s="2490"/>
      <c r="AI19" s="2490"/>
      <c r="AJ19" s="2490"/>
      <c r="AK19" s="2490"/>
      <c r="AL19" s="2490"/>
      <c r="AM19" s="2490"/>
    </row>
    <row r="20" spans="1:40" ht="12.95" customHeight="1">
      <c r="B20" s="2498" t="s">
        <v>512</v>
      </c>
      <c r="C20" s="2499"/>
      <c r="D20" s="2499"/>
      <c r="E20" s="2499"/>
      <c r="F20" s="2499"/>
      <c r="G20" s="2499"/>
      <c r="H20" s="2499"/>
      <c r="I20" s="2499"/>
      <c r="J20" s="2499"/>
      <c r="K20" s="2499"/>
      <c r="L20" s="2499"/>
      <c r="M20" s="2499"/>
      <c r="N20" s="2499"/>
      <c r="O20" s="2499"/>
      <c r="P20" s="2499"/>
      <c r="Q20" s="2499"/>
      <c r="R20" s="2499"/>
      <c r="S20" s="2500"/>
      <c r="T20" s="2491">
        <f>SUM(T13:X19)</f>
        <v>0</v>
      </c>
      <c r="U20" s="2492"/>
      <c r="V20" s="2492"/>
      <c r="W20" s="2492"/>
      <c r="X20" s="2492"/>
      <c r="Y20" s="2491">
        <f>SUM(Y13:AC19)</f>
        <v>0</v>
      </c>
      <c r="Z20" s="2492"/>
      <c r="AA20" s="2492"/>
      <c r="AB20" s="2492"/>
      <c r="AC20" s="2492"/>
      <c r="AD20" s="2493">
        <f>SUM(AD13:AH19)</f>
        <v>0</v>
      </c>
      <c r="AE20" s="2494"/>
      <c r="AF20" s="2494"/>
      <c r="AG20" s="2494"/>
      <c r="AH20" s="2491"/>
      <c r="AI20" s="2493">
        <f>SUM(AI13:AM19)</f>
        <v>0</v>
      </c>
      <c r="AJ20" s="2494"/>
      <c r="AK20" s="2494"/>
      <c r="AL20" s="2494"/>
      <c r="AM20" s="2491"/>
    </row>
    <row r="21" spans="1:40" ht="12.95" customHeight="1">
      <c r="B21" s="2498" t="s">
        <v>1422</v>
      </c>
      <c r="C21" s="2499"/>
      <c r="D21" s="2499"/>
      <c r="E21" s="2499"/>
      <c r="F21" s="2499"/>
      <c r="G21" s="2499"/>
      <c r="H21" s="2499"/>
      <c r="I21" s="2499"/>
      <c r="J21" s="2499"/>
      <c r="K21" s="2499"/>
      <c r="L21" s="2499"/>
      <c r="M21" s="2499"/>
      <c r="N21" s="2499"/>
      <c r="O21" s="2499"/>
      <c r="P21" s="2499"/>
      <c r="Q21" s="2499"/>
      <c r="R21" s="2499"/>
      <c r="S21" s="2500"/>
      <c r="T21" s="2489"/>
      <c r="U21" s="2490"/>
      <c r="V21" s="2490"/>
      <c r="W21" s="2490"/>
      <c r="X21" s="2490"/>
      <c r="Y21" s="2489"/>
      <c r="Z21" s="2490"/>
      <c r="AA21" s="2490"/>
      <c r="AB21" s="2490"/>
      <c r="AC21" s="2490"/>
      <c r="AD21" s="2486"/>
      <c r="AE21" s="2487"/>
      <c r="AF21" s="2487"/>
      <c r="AG21" s="2487"/>
      <c r="AH21" s="2488"/>
      <c r="AI21" s="2486"/>
      <c r="AJ21" s="2487"/>
      <c r="AK21" s="2487"/>
      <c r="AL21" s="2487"/>
      <c r="AM21" s="2488"/>
    </row>
    <row r="22" spans="1:40" ht="12.95" customHeight="1">
      <c r="B22" s="2498" t="s">
        <v>513</v>
      </c>
      <c r="C22" s="2499"/>
      <c r="D22" s="2499"/>
      <c r="E22" s="2499"/>
      <c r="F22" s="2499"/>
      <c r="G22" s="2499"/>
      <c r="H22" s="2499"/>
      <c r="I22" s="2499"/>
      <c r="J22" s="2499"/>
      <c r="K22" s="2499"/>
      <c r="L22" s="2499"/>
      <c r="M22" s="2499"/>
      <c r="N22" s="2499"/>
      <c r="O22" s="2499"/>
      <c r="P22" s="2499"/>
      <c r="Q22" s="2499"/>
      <c r="R22" s="2499"/>
      <c r="S22" s="2500"/>
      <c r="T22" s="2524">
        <f>(ABS(T20)+ABS(T21))*-1</f>
        <v>0</v>
      </c>
      <c r="U22" s="2525"/>
      <c r="V22" s="2525"/>
      <c r="W22" s="2525"/>
      <c r="X22" s="2525"/>
      <c r="Y22" s="2524">
        <f>(Y20+Y21)*-1</f>
        <v>0</v>
      </c>
      <c r="Z22" s="2525"/>
      <c r="AA22" s="2525"/>
      <c r="AB22" s="2525"/>
      <c r="AC22" s="2525"/>
      <c r="AD22" s="2526">
        <f>(AD20)*-1</f>
        <v>0</v>
      </c>
      <c r="AE22" s="2527"/>
      <c r="AF22" s="2527"/>
      <c r="AG22" s="2527"/>
      <c r="AH22" s="2524"/>
      <c r="AI22" s="2526">
        <f>(AI20)*-1</f>
        <v>0</v>
      </c>
      <c r="AJ22" s="2527"/>
      <c r="AK22" s="2527"/>
      <c r="AL22" s="2527"/>
      <c r="AM22" s="2524"/>
    </row>
    <row r="23" spans="1:40" ht="12.95" customHeight="1">
      <c r="B23" s="2498" t="s">
        <v>514</v>
      </c>
      <c r="C23" s="2499"/>
      <c r="D23" s="2499"/>
      <c r="E23" s="2499"/>
      <c r="F23" s="2499"/>
      <c r="G23" s="2499"/>
      <c r="H23" s="2499"/>
      <c r="I23" s="2499"/>
      <c r="J23" s="2499"/>
      <c r="K23" s="2499"/>
      <c r="L23" s="2499"/>
      <c r="M23" s="2499"/>
      <c r="N23" s="2499"/>
      <c r="O23" s="2499"/>
      <c r="P23" s="2499"/>
      <c r="Q23" s="2499"/>
      <c r="R23" s="2499"/>
      <c r="S23" s="2500"/>
      <c r="T23" s="2491">
        <f>T11+T22</f>
        <v>64595520</v>
      </c>
      <c r="U23" s="2492"/>
      <c r="V23" s="2492"/>
      <c r="W23" s="2492"/>
      <c r="X23" s="2492"/>
      <c r="Y23" s="2491">
        <f>Y11+Y22</f>
        <v>0</v>
      </c>
      <c r="Z23" s="2492"/>
      <c r="AA23" s="2492"/>
      <c r="AB23" s="2492"/>
      <c r="AC23" s="2492"/>
      <c r="AD23" s="2491">
        <f>AD11+AD22</f>
        <v>0</v>
      </c>
      <c r="AE23" s="2492"/>
      <c r="AF23" s="2492"/>
      <c r="AG23" s="2492"/>
      <c r="AH23" s="2492"/>
      <c r="AI23" s="2491">
        <f>AI11+AI22</f>
        <v>0</v>
      </c>
      <c r="AJ23" s="2492"/>
      <c r="AK23" s="2492"/>
      <c r="AL23" s="2492"/>
      <c r="AM23" s="2492"/>
    </row>
    <row r="24" spans="1:40" ht="12.95" customHeight="1">
      <c r="B24" s="2498" t="s">
        <v>1002</v>
      </c>
      <c r="C24" s="2499"/>
      <c r="D24" s="2499"/>
      <c r="E24" s="2499"/>
      <c r="F24" s="2499"/>
      <c r="G24" s="2499"/>
      <c r="H24" s="2499"/>
      <c r="I24" s="2499"/>
      <c r="J24" s="2499"/>
      <c r="K24" s="2499"/>
      <c r="L24" s="2499"/>
      <c r="M24" s="2499"/>
      <c r="N24" s="2499"/>
      <c r="O24" s="2499"/>
      <c r="P24" s="2499"/>
      <c r="Q24" s="2499"/>
      <c r="R24" s="2499"/>
      <c r="S24" s="2500"/>
      <c r="T24" s="2493">
        <f>Application!AJ1018</f>
        <v>176732101.28</v>
      </c>
      <c r="U24" s="2494"/>
      <c r="V24" s="2494"/>
      <c r="W24" s="2494"/>
      <c r="X24" s="2494"/>
      <c r="Y24" s="2494"/>
      <c r="Z24" s="2494"/>
      <c r="AA24" s="2494"/>
      <c r="AB24" s="2494"/>
      <c r="AC24" s="2494"/>
      <c r="AD24" s="2494"/>
      <c r="AE24" s="2494"/>
      <c r="AF24" s="2494"/>
      <c r="AG24" s="2494"/>
      <c r="AH24" s="2494"/>
      <c r="AI24" s="2494"/>
      <c r="AJ24" s="2494"/>
      <c r="AK24" s="2494"/>
      <c r="AL24" s="2494"/>
      <c r="AM24" s="2491"/>
    </row>
    <row r="25" spans="1:40" ht="12.95" customHeight="1">
      <c r="B25" s="2502" t="s">
        <v>1423</v>
      </c>
      <c r="C25" s="2503"/>
      <c r="D25" s="2503"/>
      <c r="E25" s="2503"/>
      <c r="F25" s="2503"/>
      <c r="G25" s="2503"/>
      <c r="H25" s="2503"/>
      <c r="I25" s="2503"/>
      <c r="J25" s="2503"/>
      <c r="K25" s="2503"/>
      <c r="L25" s="2503"/>
      <c r="M25" s="2503"/>
      <c r="N25" s="2503"/>
      <c r="O25" s="2503"/>
      <c r="P25" s="2503"/>
      <c r="Q25" s="2503"/>
      <c r="R25" s="2503"/>
      <c r="S25" s="2504"/>
      <c r="T25" s="2528">
        <f>IF(OR(Application!T195="yes",Application!T194="yes"),1.3,1)</f>
        <v>1.3</v>
      </c>
      <c r="U25" s="2529"/>
      <c r="V25" s="2529"/>
      <c r="W25" s="2529"/>
      <c r="X25" s="2529"/>
      <c r="Y25" s="2528">
        <v>1</v>
      </c>
      <c r="Z25" s="2529"/>
      <c r="AA25" s="2529"/>
      <c r="AB25" s="2529"/>
      <c r="AC25" s="2529"/>
      <c r="AD25" s="2528">
        <v>1</v>
      </c>
      <c r="AE25" s="2529"/>
      <c r="AF25" s="2529"/>
      <c r="AG25" s="2529"/>
      <c r="AH25" s="2530"/>
      <c r="AI25" s="2528">
        <v>1</v>
      </c>
      <c r="AJ25" s="2529"/>
      <c r="AK25" s="2529"/>
      <c r="AL25" s="2529"/>
      <c r="AM25" s="2530"/>
    </row>
    <row r="26" spans="1:40" ht="12.95" customHeight="1">
      <c r="B26" s="2498" t="s">
        <v>515</v>
      </c>
      <c r="C26" s="2499"/>
      <c r="D26" s="2499"/>
      <c r="E26" s="2499"/>
      <c r="F26" s="2499"/>
      <c r="G26" s="2499"/>
      <c r="H26" s="2499"/>
      <c r="I26" s="2499"/>
      <c r="J26" s="2499"/>
      <c r="K26" s="2499"/>
      <c r="L26" s="2499"/>
      <c r="M26" s="2499"/>
      <c r="N26" s="2499"/>
      <c r="O26" s="2499"/>
      <c r="P26" s="2499"/>
      <c r="Q26" s="2499"/>
      <c r="R26" s="2499"/>
      <c r="S26" s="2500"/>
      <c r="T26" s="2491">
        <f>T23*T25</f>
        <v>83974176</v>
      </c>
      <c r="U26" s="2492"/>
      <c r="V26" s="2492"/>
      <c r="W26" s="2492"/>
      <c r="X26" s="2492"/>
      <c r="Y26" s="2491">
        <f>Y23*Y25</f>
        <v>0</v>
      </c>
      <c r="Z26" s="2492"/>
      <c r="AA26" s="2492"/>
      <c r="AB26" s="2492"/>
      <c r="AC26" s="2492"/>
      <c r="AD26" s="2491">
        <f>AD23*AD25</f>
        <v>0</v>
      </c>
      <c r="AE26" s="2492"/>
      <c r="AF26" s="2492"/>
      <c r="AG26" s="2492"/>
      <c r="AH26" s="2492"/>
      <c r="AI26" s="2491">
        <f>AI23*AI25</f>
        <v>0</v>
      </c>
      <c r="AJ26" s="2492"/>
      <c r="AK26" s="2492"/>
      <c r="AL26" s="2492"/>
      <c r="AM26" s="2492"/>
    </row>
    <row r="27" spans="1:40" ht="12.95" customHeight="1">
      <c r="A27" s="442"/>
      <c r="B27" s="2505" t="s">
        <v>428</v>
      </c>
      <c r="C27" s="2506"/>
      <c r="D27" s="2506"/>
      <c r="E27" s="2506"/>
      <c r="F27" s="2506"/>
      <c r="G27" s="2506"/>
      <c r="H27" s="2506"/>
      <c r="I27" s="2506"/>
      <c r="J27" s="2506"/>
      <c r="K27" s="2506"/>
      <c r="L27" s="2506"/>
      <c r="M27" s="2506"/>
      <c r="N27" s="2506"/>
      <c r="O27" s="2506"/>
      <c r="P27" s="2506"/>
      <c r="Q27" s="2506"/>
      <c r="R27" s="2506"/>
      <c r="S27" s="2507"/>
      <c r="T27" s="2511">
        <f>Application!$AG$444</f>
        <v>1</v>
      </c>
      <c r="U27" s="2512"/>
      <c r="V27" s="2512"/>
      <c r="W27" s="2512"/>
      <c r="X27" s="2512"/>
      <c r="Y27" s="2511">
        <f>Application!$AG$444</f>
        <v>1</v>
      </c>
      <c r="Z27" s="2512"/>
      <c r="AA27" s="2512"/>
      <c r="AB27" s="2512"/>
      <c r="AC27" s="2512"/>
      <c r="AD27" s="2511">
        <f>Application!$AG$444</f>
        <v>1</v>
      </c>
      <c r="AE27" s="2512"/>
      <c r="AF27" s="2512"/>
      <c r="AG27" s="2512"/>
      <c r="AH27" s="2512"/>
      <c r="AI27" s="2511">
        <f>Application!$AG$444</f>
        <v>1</v>
      </c>
      <c r="AJ27" s="2512"/>
      <c r="AK27" s="2512"/>
      <c r="AL27" s="2512"/>
      <c r="AM27" s="2512"/>
    </row>
    <row r="28" spans="1:40" ht="12.95" customHeight="1">
      <c r="A28" s="436"/>
      <c r="B28" s="2498" t="s">
        <v>516</v>
      </c>
      <c r="C28" s="2499"/>
      <c r="D28" s="2499"/>
      <c r="E28" s="2499"/>
      <c r="F28" s="2499"/>
      <c r="G28" s="2499"/>
      <c r="H28" s="2499"/>
      <c r="I28" s="2499"/>
      <c r="J28" s="2499"/>
      <c r="K28" s="2499"/>
      <c r="L28" s="2499"/>
      <c r="M28" s="2499"/>
      <c r="N28" s="2499"/>
      <c r="O28" s="2499"/>
      <c r="P28" s="2499"/>
      <c r="Q28" s="2499"/>
      <c r="R28" s="2499"/>
      <c r="S28" s="2500"/>
      <c r="T28" s="2491">
        <f>IF(ISERROR((T26*T27)),0,(T26*T27))</f>
        <v>83974176</v>
      </c>
      <c r="U28" s="2492"/>
      <c r="V28" s="2492"/>
      <c r="W28" s="2492"/>
      <c r="X28" s="2492"/>
      <c r="Y28" s="2491">
        <f>IF(ISERROR((Y26*Y27)),0,(Y26*Y27))</f>
        <v>0</v>
      </c>
      <c r="Z28" s="2492"/>
      <c r="AA28" s="2492"/>
      <c r="AB28" s="2492"/>
      <c r="AC28" s="2492"/>
      <c r="AD28" s="2491">
        <f>IF(ISERROR((AD26*AD27)),0,(AD26*AD27))</f>
        <v>0</v>
      </c>
      <c r="AE28" s="2492"/>
      <c r="AF28" s="2492"/>
      <c r="AG28" s="2492"/>
      <c r="AH28" s="2492"/>
      <c r="AI28" s="2491">
        <f>IF(ISERROR((AI26*AI27)),0,(AI26*AI27))</f>
        <v>0</v>
      </c>
      <c r="AJ28" s="2492"/>
      <c r="AK28" s="2492"/>
      <c r="AL28" s="2492"/>
      <c r="AM28" s="2492"/>
    </row>
    <row r="29" spans="1:40" ht="12.95" customHeight="1">
      <c r="B29" s="2498" t="s">
        <v>533</v>
      </c>
      <c r="C29" s="2499"/>
      <c r="D29" s="2499"/>
      <c r="E29" s="2499"/>
      <c r="F29" s="2499"/>
      <c r="G29" s="2499"/>
      <c r="H29" s="2499"/>
      <c r="I29" s="2499"/>
      <c r="J29" s="2499"/>
      <c r="K29" s="2499"/>
      <c r="L29" s="2499"/>
      <c r="M29" s="2499"/>
      <c r="N29" s="2499"/>
      <c r="O29" s="2499"/>
      <c r="P29" s="2499"/>
      <c r="Q29" s="2499"/>
      <c r="R29" s="2499"/>
      <c r="S29" s="2500"/>
      <c r="T29" s="2493">
        <f>T28+Y28+AD28+AI28</f>
        <v>83974176</v>
      </c>
      <c r="U29" s="2494"/>
      <c r="V29" s="2494"/>
      <c r="W29" s="2494"/>
      <c r="X29" s="2494"/>
      <c r="Y29" s="2494"/>
      <c r="Z29" s="2494"/>
      <c r="AA29" s="2494"/>
      <c r="AB29" s="2494"/>
      <c r="AC29" s="2494"/>
      <c r="AD29" s="2494"/>
      <c r="AE29" s="2494"/>
      <c r="AF29" s="2494"/>
      <c r="AG29" s="2494"/>
      <c r="AH29" s="2494"/>
      <c r="AI29" s="2494"/>
      <c r="AJ29" s="2494"/>
      <c r="AK29" s="2494"/>
      <c r="AL29" s="2494"/>
      <c r="AM29" s="2491"/>
    </row>
    <row r="30" spans="1:40" ht="12.95" customHeight="1">
      <c r="B30" s="2501" t="s">
        <v>1425</v>
      </c>
      <c r="C30" s="2501"/>
      <c r="D30" s="2501"/>
      <c r="E30" s="2501"/>
      <c r="F30" s="2501"/>
      <c r="G30" s="2501"/>
      <c r="H30" s="2501"/>
      <c r="I30" s="2501"/>
      <c r="J30" s="2501"/>
      <c r="K30" s="2501"/>
      <c r="L30" s="2501"/>
      <c r="M30" s="2501"/>
      <c r="N30" s="2501"/>
      <c r="O30" s="2501"/>
      <c r="P30" s="2501"/>
      <c r="Q30" s="2501"/>
      <c r="R30" s="2501"/>
      <c r="S30" s="2501"/>
      <c r="T30" s="2501"/>
      <c r="U30" s="2501"/>
      <c r="V30" s="2501"/>
      <c r="W30" s="2501"/>
      <c r="X30" s="2501"/>
      <c r="Y30" s="2501"/>
      <c r="Z30" s="2501"/>
      <c r="AA30" s="2501"/>
      <c r="AB30" s="2501"/>
      <c r="AC30" s="2501"/>
      <c r="AD30" s="2501"/>
      <c r="AE30" s="2501"/>
      <c r="AF30" s="2501"/>
      <c r="AG30" s="2501"/>
      <c r="AH30" s="2501"/>
      <c r="AI30" s="2501"/>
      <c r="AJ30" s="2501"/>
      <c r="AK30" s="2501"/>
      <c r="AL30" s="2501"/>
      <c r="AM30" s="2501"/>
    </row>
    <row r="31" spans="1:40" ht="12.95" customHeight="1">
      <c r="B31" s="2501" t="s">
        <v>1424</v>
      </c>
      <c r="C31" s="2501"/>
      <c r="D31" s="2501"/>
      <c r="E31" s="2501"/>
      <c r="F31" s="2501"/>
      <c r="G31" s="2501"/>
      <c r="H31" s="2501"/>
      <c r="I31" s="2501"/>
      <c r="J31" s="2501"/>
      <c r="K31" s="2501"/>
      <c r="L31" s="2501"/>
      <c r="M31" s="2501"/>
      <c r="N31" s="2501"/>
      <c r="O31" s="2501"/>
      <c r="P31" s="2501"/>
      <c r="Q31" s="2501"/>
      <c r="R31" s="2501"/>
      <c r="S31" s="2501"/>
      <c r="T31" s="2501"/>
      <c r="U31" s="2501"/>
      <c r="V31" s="2501"/>
      <c r="W31" s="2501"/>
      <c r="X31" s="2501"/>
      <c r="Y31" s="2501"/>
      <c r="Z31" s="2501"/>
      <c r="AA31" s="2501"/>
      <c r="AB31" s="2501"/>
      <c r="AC31" s="2501"/>
      <c r="AD31" s="2501"/>
      <c r="AE31" s="2501"/>
      <c r="AF31" s="2501"/>
      <c r="AG31" s="2501"/>
      <c r="AH31" s="2501"/>
      <c r="AI31" s="2501"/>
      <c r="AJ31" s="2501"/>
      <c r="AK31" s="2501"/>
      <c r="AL31" s="2501"/>
      <c r="AM31" s="2501"/>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9" t="s">
        <v>1294</v>
      </c>
      <c r="Z35" s="2519"/>
      <c r="AA35" s="2519"/>
      <c r="AB35" s="2519"/>
      <c r="AC35" s="2519"/>
      <c r="AD35" s="2542" t="s">
        <v>371</v>
      </c>
      <c r="AE35" s="2542"/>
      <c r="AF35" s="2542"/>
      <c r="AG35" s="2542"/>
      <c r="AH35" s="2542"/>
    </row>
    <row r="36" spans="1:76" ht="12.95" customHeight="1">
      <c r="B36" s="439"/>
      <c r="X36" s="444"/>
      <c r="Y36" s="2519"/>
      <c r="Z36" s="2519"/>
      <c r="AA36" s="2519"/>
      <c r="AB36" s="2519"/>
      <c r="AC36" s="2519"/>
      <c r="AD36" s="2542"/>
      <c r="AE36" s="2542"/>
      <c r="AF36" s="2542"/>
      <c r="AG36" s="2542"/>
      <c r="AH36" s="2542"/>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9"/>
      <c r="Z37" s="2519"/>
      <c r="AA37" s="2519"/>
      <c r="AB37" s="2519"/>
      <c r="AC37" s="2519"/>
      <c r="AD37" s="2542"/>
      <c r="AE37" s="2542"/>
      <c r="AF37" s="2542"/>
      <c r="AG37" s="2542"/>
      <c r="AH37" s="2542"/>
    </row>
    <row r="38" spans="1:76" ht="12.95" customHeight="1">
      <c r="A38" s="436"/>
      <c r="B38" s="2498" t="s">
        <v>516</v>
      </c>
      <c r="C38" s="2499"/>
      <c r="D38" s="2499"/>
      <c r="E38" s="2499"/>
      <c r="F38" s="2499"/>
      <c r="G38" s="2499"/>
      <c r="H38" s="2499"/>
      <c r="I38" s="2499"/>
      <c r="J38" s="2499"/>
      <c r="K38" s="2499"/>
      <c r="L38" s="2499"/>
      <c r="M38" s="2499"/>
      <c r="N38" s="2499"/>
      <c r="O38" s="2499"/>
      <c r="P38" s="2499"/>
      <c r="Q38" s="2499"/>
      <c r="R38" s="2499"/>
      <c r="S38" s="2499"/>
      <c r="T38" s="2499"/>
      <c r="U38" s="2499"/>
      <c r="V38" s="2499"/>
      <c r="W38" s="2499"/>
      <c r="X38" s="2500"/>
      <c r="Y38" s="2492">
        <f>IF(T24&gt;=(T23+Y23+AD23+AI23),T28+Y28,0)</f>
        <v>83974176</v>
      </c>
      <c r="Z38" s="2492"/>
      <c r="AA38" s="2492"/>
      <c r="AB38" s="2492"/>
      <c r="AC38" s="2492"/>
      <c r="AD38" s="2492">
        <f>IF(T24&gt;=(T23+Y23+AD23+AI23),AD28+AI28,0)</f>
        <v>0</v>
      </c>
      <c r="AE38" s="2492"/>
      <c r="AF38" s="2492"/>
      <c r="AG38" s="2492"/>
      <c r="AH38" s="2492"/>
    </row>
    <row r="39" spans="1:76" ht="12.95" customHeight="1">
      <c r="B39" s="2498" t="s">
        <v>1953</v>
      </c>
      <c r="C39" s="2499"/>
      <c r="D39" s="2499"/>
      <c r="E39" s="2499"/>
      <c r="F39" s="2499"/>
      <c r="G39" s="2499"/>
      <c r="H39" s="2499"/>
      <c r="I39" s="2499"/>
      <c r="J39" s="2499"/>
      <c r="K39" s="2499"/>
      <c r="L39" s="2499"/>
      <c r="M39" s="2499"/>
      <c r="N39" s="2499"/>
      <c r="O39" s="2499"/>
      <c r="P39" s="2499"/>
      <c r="Q39" s="2499"/>
      <c r="R39" s="2499"/>
      <c r="S39" s="2499"/>
      <c r="T39" s="2499"/>
      <c r="U39" s="2499"/>
      <c r="V39" s="2499"/>
      <c r="W39" s="2499"/>
      <c r="X39" s="2500"/>
      <c r="Y39" s="2543">
        <v>0.04</v>
      </c>
      <c r="Z39" s="2543"/>
      <c r="AA39" s="2543"/>
      <c r="AB39" s="2543"/>
      <c r="AC39" s="2543"/>
      <c r="AD39" s="2543">
        <v>0.04</v>
      </c>
      <c r="AE39" s="2543"/>
      <c r="AF39" s="2543"/>
      <c r="AG39" s="2543"/>
      <c r="AH39" s="2543"/>
    </row>
    <row r="40" spans="1:76" ht="12.95" customHeight="1">
      <c r="A40" s="436"/>
      <c r="B40" s="2498" t="s">
        <v>652</v>
      </c>
      <c r="C40" s="2499"/>
      <c r="D40" s="2499"/>
      <c r="E40" s="2499"/>
      <c r="F40" s="2499"/>
      <c r="G40" s="2499"/>
      <c r="H40" s="2499"/>
      <c r="I40" s="2499"/>
      <c r="J40" s="2499"/>
      <c r="K40" s="2499"/>
      <c r="L40" s="2499"/>
      <c r="M40" s="2499"/>
      <c r="N40" s="2499"/>
      <c r="O40" s="2499"/>
      <c r="P40" s="2499"/>
      <c r="Q40" s="2499"/>
      <c r="R40" s="2499"/>
      <c r="S40" s="2499"/>
      <c r="T40" s="2499"/>
      <c r="U40" s="2499"/>
      <c r="V40" s="2499"/>
      <c r="W40" s="2499"/>
      <c r="X40" s="2500"/>
      <c r="Y40" s="2492">
        <f>ROUND(Y38*Y39,0)</f>
        <v>3358967</v>
      </c>
      <c r="Z40" s="2492"/>
      <c r="AA40" s="2492"/>
      <c r="AB40" s="2492"/>
      <c r="AC40" s="2492"/>
      <c r="AD40" s="2491">
        <f>ROUND(AD38*AD39,0)</f>
        <v>0</v>
      </c>
      <c r="AE40" s="2492"/>
      <c r="AF40" s="2492"/>
      <c r="AG40" s="2492"/>
      <c r="AH40" s="2492"/>
    </row>
    <row r="41" spans="1:76" ht="12.95" customHeight="1">
      <c r="B41" s="2498" t="s">
        <v>653</v>
      </c>
      <c r="C41" s="2499"/>
      <c r="D41" s="2499"/>
      <c r="E41" s="2499"/>
      <c r="F41" s="2499"/>
      <c r="G41" s="2499"/>
      <c r="H41" s="2499"/>
      <c r="I41" s="2499"/>
      <c r="J41" s="2499"/>
      <c r="K41" s="2499"/>
      <c r="L41" s="2499"/>
      <c r="M41" s="2499"/>
      <c r="N41" s="2499"/>
      <c r="O41" s="2499"/>
      <c r="P41" s="2499"/>
      <c r="Q41" s="2499"/>
      <c r="R41" s="2499"/>
      <c r="S41" s="2499"/>
      <c r="T41" s="2499"/>
      <c r="U41" s="2499"/>
      <c r="V41" s="2499"/>
      <c r="W41" s="2499"/>
      <c r="X41" s="2500"/>
      <c r="Y41" s="2493">
        <f>Y40+AD40</f>
        <v>3358967</v>
      </c>
      <c r="Z41" s="2494"/>
      <c r="AA41" s="2494"/>
      <c r="AB41" s="2494"/>
      <c r="AC41" s="2494"/>
      <c r="AD41" s="2494"/>
      <c r="AE41" s="2494"/>
      <c r="AF41" s="2494"/>
      <c r="AG41" s="2494"/>
      <c r="AH41" s="2491"/>
    </row>
    <row r="42" spans="1:76" ht="12.95" customHeight="1">
      <c r="A42" s="436"/>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6" t="s">
        <v>1436</v>
      </c>
      <c r="B44" s="2496"/>
      <c r="C44" s="2496"/>
      <c r="D44" s="2496"/>
      <c r="E44" s="2496"/>
      <c r="F44" s="2496"/>
      <c r="G44" s="2496"/>
      <c r="H44" s="2496"/>
      <c r="I44" s="2496"/>
      <c r="J44" s="2496"/>
      <c r="K44" s="2496"/>
      <c r="L44" s="2496"/>
      <c r="M44" s="2496"/>
      <c r="N44" s="2496"/>
      <c r="O44" s="2496"/>
      <c r="P44" s="2496"/>
      <c r="Q44" s="2496"/>
      <c r="R44" s="2496"/>
      <c r="S44" s="2496"/>
      <c r="T44" s="2496"/>
      <c r="U44" s="2496"/>
      <c r="V44" s="2496"/>
      <c r="W44" s="2496"/>
      <c r="X44" s="2496"/>
      <c r="Y44" s="2496"/>
      <c r="Z44" s="2496"/>
      <c r="AA44" s="2496"/>
      <c r="AB44" s="2496"/>
      <c r="AC44" s="2496"/>
      <c r="AD44" s="2496"/>
      <c r="AE44" s="2496"/>
      <c r="AF44" s="2496"/>
      <c r="AG44" s="2496"/>
      <c r="AH44" s="2496"/>
      <c r="AI44" s="2496"/>
      <c r="AJ44" s="2496"/>
      <c r="AK44" s="2496"/>
      <c r="AL44" s="2496"/>
      <c r="AM44" s="2496"/>
      <c r="AN44" s="2496"/>
      <c r="AO44" s="2496"/>
      <c r="AP44" s="2496"/>
      <c r="AQ44" s="2496"/>
      <c r="AR44" s="2496"/>
      <c r="AS44" s="2496"/>
      <c r="AT44" s="2496"/>
      <c r="AU44" s="2496"/>
      <c r="AV44" s="2496"/>
      <c r="AW44" s="2496"/>
      <c r="AX44" s="2496"/>
      <c r="AY44" s="2496"/>
      <c r="AZ44" s="2496"/>
      <c r="BA44" s="2496"/>
      <c r="BB44" s="2496"/>
      <c r="BC44" s="2496"/>
      <c r="BD44" s="2496"/>
      <c r="BE44" s="2496"/>
      <c r="BF44" s="2496"/>
      <c r="BG44" s="2496"/>
      <c r="BH44" s="2496"/>
      <c r="BI44" s="2496"/>
      <c r="BJ44" s="2496"/>
      <c r="BK44" s="2496"/>
      <c r="BL44" s="2496"/>
      <c r="BM44" s="2496"/>
      <c r="BN44" s="2496"/>
      <c r="BO44" s="2496"/>
      <c r="BP44" s="2496"/>
      <c r="BQ44" s="2496"/>
      <c r="BR44" s="2496"/>
      <c r="BS44" s="2496"/>
      <c r="BT44" s="2496"/>
      <c r="BU44" s="2496"/>
      <c r="BV44" s="2496"/>
      <c r="BW44" s="2496"/>
      <c r="BX44" s="2496"/>
    </row>
    <row r="45" spans="1:76" s="218" customFormat="1" ht="12.95" customHeight="1" thickTop="1"/>
    <row r="46" spans="1:76" ht="12.95" customHeight="1">
      <c r="A46" s="436" t="s">
        <v>596</v>
      </c>
      <c r="C46" s="436" t="s">
        <v>284</v>
      </c>
    </row>
    <row r="47" spans="1:76" ht="12.95" customHeight="1">
      <c r="D47" s="436" t="s">
        <v>285</v>
      </c>
      <c r="AB47" s="2508">
        <f>'Sources and Uses Budget'!B105-MAX(IF('Sources and Uses Budget'!B15="",0,'Sources and Uses Budget'!B15),IF(Application!AG393="",0,Application!AG393))</f>
        <v>72409545</v>
      </c>
      <c r="AC47" s="2509"/>
      <c r="AD47" s="2509"/>
      <c r="AE47" s="2509"/>
      <c r="AF47" s="2510"/>
    </row>
    <row r="48" spans="1:76" ht="12.95" customHeight="1">
      <c r="D48" s="436" t="s">
        <v>21</v>
      </c>
      <c r="AB48" s="2508">
        <f>Application!AO635-MAX(IF('Sources and Uses Budget'!B15="",0,'Sources and Uses Budget'!B15),IF(Application!AG393="",0,Application!AG393))</f>
        <v>33209545</v>
      </c>
      <c r="AC48" s="2509"/>
      <c r="AD48" s="2509"/>
      <c r="AE48" s="2509"/>
      <c r="AF48" s="2510"/>
    </row>
    <row r="49" spans="1:76" ht="12.95" customHeight="1">
      <c r="D49" s="436" t="s">
        <v>92</v>
      </c>
      <c r="AB49" s="2508">
        <f>AB47-AB48</f>
        <v>39200000</v>
      </c>
      <c r="AC49" s="2509"/>
      <c r="AD49" s="2509"/>
      <c r="AE49" s="2509"/>
      <c r="AF49" s="2510"/>
    </row>
    <row r="50" spans="1:76" ht="12.95" customHeight="1">
      <c r="D50" s="436" t="s">
        <v>691</v>
      </c>
      <c r="AA50" s="447"/>
      <c r="AB50" s="2535">
        <v>0.87</v>
      </c>
      <c r="AC50" s="2536"/>
      <c r="AD50" s="2536"/>
      <c r="AE50" s="2536"/>
      <c r="AF50" s="2537"/>
    </row>
    <row r="51" spans="1:76" s="449" customFormat="1" ht="12.95" customHeight="1">
      <c r="A51" s="434"/>
      <c r="B51" s="434"/>
      <c r="C51" s="434"/>
      <c r="D51" s="434"/>
      <c r="E51" s="2538" t="s">
        <v>2114</v>
      </c>
      <c r="F51" s="2538"/>
      <c r="G51" s="2538"/>
      <c r="H51" s="2538"/>
      <c r="I51" s="2538"/>
      <c r="J51" s="2538"/>
      <c r="K51" s="2538"/>
      <c r="L51" s="2538"/>
      <c r="M51" s="2538"/>
      <c r="N51" s="2538"/>
      <c r="O51" s="2538"/>
      <c r="P51" s="2538"/>
      <c r="Q51" s="2538"/>
      <c r="R51" s="2538"/>
      <c r="S51" s="2538"/>
      <c r="T51" s="2538"/>
      <c r="U51" s="2538"/>
      <c r="V51" s="2538"/>
      <c r="W51" s="2538"/>
      <c r="X51" s="2538"/>
      <c r="Y51" s="2538"/>
      <c r="Z51" s="2538"/>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38"/>
      <c r="F52" s="2538"/>
      <c r="G52" s="2538"/>
      <c r="H52" s="2538"/>
      <c r="I52" s="2538"/>
      <c r="J52" s="2538"/>
      <c r="K52" s="2538"/>
      <c r="L52" s="2538"/>
      <c r="M52" s="2538"/>
      <c r="N52" s="2538"/>
      <c r="O52" s="2538"/>
      <c r="P52" s="2538"/>
      <c r="Q52" s="2538"/>
      <c r="R52" s="2538"/>
      <c r="S52" s="2538"/>
      <c r="T52" s="2538"/>
      <c r="U52" s="2538"/>
      <c r="V52" s="2538"/>
      <c r="W52" s="2538"/>
      <c r="X52" s="2538"/>
      <c r="Y52" s="2538"/>
      <c r="Z52" s="2538"/>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08">
        <f>ROUND(IF(ISERROR((AB49/AB50)),0,(AB49/AB50)),0)</f>
        <v>45057471</v>
      </c>
      <c r="AC54" s="2509"/>
      <c r="AD54" s="2509"/>
      <c r="AE54" s="2509"/>
      <c r="AF54" s="2510"/>
    </row>
    <row r="55" spans="1:76" ht="12.95" customHeight="1">
      <c r="D55" s="436" t="s">
        <v>335</v>
      </c>
      <c r="AB55" s="2508">
        <f>(AB54/10)</f>
        <v>4505747.0999999996</v>
      </c>
      <c r="AC55" s="2509"/>
      <c r="AD55" s="2509"/>
      <c r="AE55" s="2509"/>
      <c r="AF55" s="2510"/>
    </row>
    <row r="56" spans="1:76" ht="12.95" customHeight="1">
      <c r="D56" s="436" t="s">
        <v>769</v>
      </c>
      <c r="AB56" s="2539">
        <f>(IF((Y41&lt;AB55),Y41,AB55))</f>
        <v>3358967</v>
      </c>
      <c r="AC56" s="2540"/>
      <c r="AD56" s="2540"/>
      <c r="AE56" s="2540"/>
      <c r="AF56" s="2541"/>
    </row>
    <row r="57" spans="1:76" ht="12.95" customHeight="1">
      <c r="D57" s="436" t="s">
        <v>768</v>
      </c>
      <c r="AB57" s="2508">
        <f>ROUND((10*AB56*AB50),0)</f>
        <v>29223013</v>
      </c>
      <c r="AC57" s="2509"/>
      <c r="AD57" s="2509"/>
      <c r="AE57" s="2509"/>
      <c r="AF57" s="2510"/>
    </row>
    <row r="58" spans="1:76" ht="12.95" customHeight="1">
      <c r="D58" s="436"/>
      <c r="AB58" s="455"/>
      <c r="AC58" s="455"/>
      <c r="AD58" s="455"/>
      <c r="AE58" s="455"/>
      <c r="AF58" s="455"/>
    </row>
    <row r="59" spans="1:76" ht="12.95" customHeight="1">
      <c r="D59" s="436" t="s">
        <v>767</v>
      </c>
      <c r="AB59" s="2531">
        <f>AB49-AB57</f>
        <v>9976987</v>
      </c>
      <c r="AC59" s="2531"/>
      <c r="AD59" s="2531"/>
      <c r="AE59" s="2531"/>
      <c r="AF59" s="2531"/>
    </row>
    <row r="60" spans="1:76" ht="12.95" customHeight="1">
      <c r="D60" s="436"/>
      <c r="AB60" s="455"/>
      <c r="AC60" s="455"/>
      <c r="AD60" s="455"/>
      <c r="AE60" s="455"/>
      <c r="AF60" s="455"/>
    </row>
    <row r="61" spans="1:76" s="218" customFormat="1" ht="12.95" customHeight="1" thickBot="1">
      <c r="A61" s="2496" t="str">
        <f>IF(Application!AP204="yes","Farmworker State Credit", "State Credit" )</f>
        <v>State Credit</v>
      </c>
      <c r="B61" s="2496"/>
      <c r="C61" s="2496"/>
      <c r="D61" s="2496"/>
      <c r="E61" s="2496"/>
      <c r="F61" s="2496"/>
      <c r="G61" s="2496"/>
      <c r="H61" s="2496"/>
      <c r="I61" s="2496"/>
      <c r="J61" s="2496"/>
      <c r="K61" s="2496"/>
      <c r="L61" s="2496"/>
      <c r="M61" s="2496"/>
      <c r="N61" s="2496"/>
      <c r="O61" s="2496"/>
      <c r="P61" s="2496"/>
      <c r="Q61" s="2496"/>
      <c r="R61" s="2496"/>
      <c r="S61" s="2496"/>
      <c r="T61" s="2496"/>
      <c r="U61" s="2496"/>
      <c r="V61" s="2496"/>
      <c r="W61" s="2496"/>
      <c r="X61" s="2496"/>
      <c r="Y61" s="2496"/>
      <c r="Z61" s="2496"/>
      <c r="AA61" s="2496"/>
      <c r="AB61" s="2496"/>
      <c r="AC61" s="2496"/>
      <c r="AD61" s="2496"/>
      <c r="AE61" s="2496"/>
      <c r="AF61" s="2496"/>
      <c r="AG61" s="2496"/>
      <c r="AH61" s="2496"/>
      <c r="AI61" s="2496"/>
      <c r="AJ61" s="2496"/>
      <c r="AK61" s="2496"/>
      <c r="AL61" s="2496"/>
      <c r="AM61" s="2496"/>
      <c r="AN61" s="2496"/>
      <c r="AO61" s="2496"/>
      <c r="AP61" s="2496"/>
      <c r="AQ61" s="2496"/>
      <c r="AR61" s="2496"/>
      <c r="AS61" s="2496"/>
      <c r="AT61" s="2496"/>
      <c r="AU61" s="2496"/>
      <c r="AV61" s="2496"/>
      <c r="AW61" s="2496"/>
      <c r="AX61" s="2496"/>
      <c r="AY61" s="2496"/>
      <c r="AZ61" s="2496"/>
      <c r="BA61" s="2496"/>
      <c r="BB61" s="2496"/>
      <c r="BC61" s="2496"/>
      <c r="BD61" s="2496"/>
      <c r="BE61" s="2496"/>
      <c r="BF61" s="2496"/>
      <c r="BG61" s="2496"/>
      <c r="BH61" s="2496"/>
      <c r="BI61" s="2496"/>
      <c r="BJ61" s="2496"/>
      <c r="BK61" s="2496"/>
      <c r="BL61" s="2496"/>
      <c r="BM61" s="2496"/>
      <c r="BN61" s="2496"/>
      <c r="BO61" s="2496"/>
      <c r="BP61" s="2496"/>
      <c r="BQ61" s="2496"/>
      <c r="BR61" s="2496"/>
      <c r="BS61" s="2496"/>
      <c r="BT61" s="2496"/>
      <c r="BU61" s="2496"/>
      <c r="BV61" s="2496"/>
      <c r="BW61" s="2496"/>
      <c r="BX61" s="2496"/>
    </row>
    <row r="62" spans="1:76" s="218" customFormat="1" ht="12.95" customHeight="1" thickTop="1"/>
    <row r="63" spans="1:76" ht="12.95" customHeight="1">
      <c r="A63" s="436" t="s">
        <v>599</v>
      </c>
      <c r="C63" s="219" t="s">
        <v>1406</v>
      </c>
      <c r="Y63" s="2532" t="s">
        <v>1025</v>
      </c>
      <c r="Z63" s="2532"/>
      <c r="AA63" s="2532"/>
      <c r="AB63" s="2532"/>
      <c r="AC63" s="2532"/>
      <c r="AD63" s="2532" t="s">
        <v>371</v>
      </c>
      <c r="AE63" s="2532"/>
      <c r="AF63" s="2532"/>
      <c r="AG63" s="2532"/>
      <c r="AH63" s="2532"/>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93">
        <f>IF(Application!Z204="(select)",0,((T23*T27)+Y28))</f>
        <v>64595520</v>
      </c>
      <c r="Z64" s="2533"/>
      <c r="AA64" s="2533"/>
      <c r="AB64" s="2533"/>
      <c r="AC64" s="2534"/>
      <c r="AD64" s="2493">
        <f>IF(AND(OR(Application!D210="At-Risk",Application!D210="At-Risk and Special Needs"),Application!M357="yes"),AD28+AI28,0)</f>
        <v>0</v>
      </c>
      <c r="AE64" s="2533"/>
      <c r="AF64" s="2533"/>
      <c r="AG64" s="2533"/>
      <c r="AH64" s="2534"/>
    </row>
    <row r="65" spans="1:36" ht="12.95" customHeight="1">
      <c r="C65" s="436"/>
      <c r="E65" s="1051"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1"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49">
        <f>IF(Application!AP204="yes",0.75,IF(Application!Z203="15% set-aside",0.13,IF(Application!Z203="15% set-aside with qualifying low value rehab",0.95,0.3)))</f>
        <v>0.3</v>
      </c>
      <c r="Z67" s="2549"/>
      <c r="AA67" s="2549"/>
      <c r="AB67" s="2549"/>
      <c r="AC67" s="2549"/>
      <c r="AD67" s="2549">
        <f>IF(Application!Z203="15% set-aside with qualifying low value rehab", 0.95,0.13)</f>
        <v>0.13</v>
      </c>
      <c r="AE67" s="2549"/>
      <c r="AF67" s="2549"/>
      <c r="AG67" s="2549"/>
      <c r="AH67" s="2549"/>
    </row>
    <row r="68" spans="1:36" ht="12.95" customHeight="1">
      <c r="C68" s="436"/>
      <c r="D68" s="219" t="s">
        <v>1408</v>
      </c>
      <c r="Y68" s="2492">
        <f>ROUND(Y64*Y67,0)</f>
        <v>19378656</v>
      </c>
      <c r="Z68" s="2550"/>
      <c r="AA68" s="2550"/>
      <c r="AB68" s="2550"/>
      <c r="AC68" s="2550"/>
      <c r="AD68" s="2492">
        <f>ROUND(AD64*AD67,0)</f>
        <v>0</v>
      </c>
      <c r="AE68" s="2550"/>
      <c r="AF68" s="2550"/>
      <c r="AG68" s="2550"/>
      <c r="AH68" s="2550"/>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35">
        <v>0.75</v>
      </c>
      <c r="AC71" s="2536"/>
      <c r="AD71" s="2536"/>
      <c r="AE71" s="2536"/>
      <c r="AF71" s="2537"/>
    </row>
    <row r="72" spans="1:36" ht="12.95" customHeight="1">
      <c r="A72" s="436"/>
      <c r="C72" s="436"/>
      <c r="D72" s="436"/>
      <c r="E72" s="2551" t="s">
        <v>1410</v>
      </c>
      <c r="F72" s="2551"/>
      <c r="G72" s="2551"/>
      <c r="H72" s="2551"/>
      <c r="I72" s="2551"/>
      <c r="J72" s="2551"/>
      <c r="K72" s="2551"/>
      <c r="L72" s="2551"/>
      <c r="M72" s="2551"/>
      <c r="N72" s="2551"/>
      <c r="O72" s="2551"/>
      <c r="P72" s="2551"/>
      <c r="Q72" s="2551"/>
      <c r="R72" s="2551"/>
      <c r="S72" s="2551"/>
      <c r="T72" s="2551"/>
      <c r="U72" s="2551"/>
      <c r="V72" s="2551"/>
      <c r="W72" s="2551"/>
      <c r="X72" s="2551"/>
      <c r="Y72" s="2551"/>
      <c r="Z72" s="2551"/>
      <c r="AA72" s="2551"/>
      <c r="AB72" s="472"/>
      <c r="AC72" s="472"/>
    </row>
    <row r="73" spans="1:36" ht="12.95" customHeight="1">
      <c r="A73" s="436"/>
      <c r="C73" s="436"/>
      <c r="D73" s="436"/>
      <c r="E73" s="2551"/>
      <c r="F73" s="2551"/>
      <c r="G73" s="2551"/>
      <c r="H73" s="2551"/>
      <c r="I73" s="2551"/>
      <c r="J73" s="2551"/>
      <c r="K73" s="2551"/>
      <c r="L73" s="2551"/>
      <c r="M73" s="2551"/>
      <c r="N73" s="2551"/>
      <c r="O73" s="2551"/>
      <c r="P73" s="2551"/>
      <c r="Q73" s="2551"/>
      <c r="R73" s="2551"/>
      <c r="S73" s="2551"/>
      <c r="T73" s="2551"/>
      <c r="U73" s="2551"/>
      <c r="V73" s="2551"/>
      <c r="W73" s="2551"/>
      <c r="X73" s="2551"/>
      <c r="Y73" s="2551"/>
      <c r="Z73" s="2551"/>
      <c r="AA73" s="2551"/>
      <c r="AB73" s="472"/>
      <c r="AC73" s="472"/>
    </row>
    <row r="74" spans="1:36" ht="12.95" customHeight="1">
      <c r="A74" s="436"/>
      <c r="C74" s="436"/>
      <c r="D74" s="436"/>
      <c r="E74" s="2551"/>
      <c r="F74" s="2551"/>
      <c r="G74" s="2551"/>
      <c r="H74" s="2551"/>
      <c r="I74" s="2551"/>
      <c r="J74" s="2551"/>
      <c r="K74" s="2551"/>
      <c r="L74" s="2551"/>
      <c r="M74" s="2551"/>
      <c r="N74" s="2551"/>
      <c r="O74" s="2551"/>
      <c r="P74" s="2551"/>
      <c r="Q74" s="2551"/>
      <c r="R74" s="2551"/>
      <c r="S74" s="2551"/>
      <c r="T74" s="2551"/>
      <c r="U74" s="2551"/>
      <c r="V74" s="2551"/>
      <c r="W74" s="2551"/>
      <c r="X74" s="2551"/>
      <c r="Y74" s="2551"/>
      <c r="Z74" s="2551"/>
      <c r="AA74" s="2551"/>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44">
        <f>ROUND(IF(ISERROR((AB59/AB71)),0,(AB59/AB71)),0)</f>
        <v>13302649</v>
      </c>
      <c r="AC76" s="2544"/>
      <c r="AD76" s="2544"/>
      <c r="AE76" s="2544"/>
      <c r="AF76" s="2544"/>
    </row>
    <row r="77" spans="1:36" ht="12.95" customHeight="1">
      <c r="C77" s="436"/>
      <c r="D77" s="219" t="s">
        <v>1412</v>
      </c>
      <c r="AB77" s="2545">
        <f>IF((Y68+AD68&lt;AB76),Y68+AD68,AB76)</f>
        <v>13302649</v>
      </c>
      <c r="AC77" s="2546"/>
      <c r="AD77" s="2546"/>
      <c r="AE77" s="2546"/>
      <c r="AF77" s="2547"/>
    </row>
    <row r="78" spans="1:36" ht="12.95" customHeight="1">
      <c r="C78" s="436"/>
      <c r="D78" s="219" t="s">
        <v>1413</v>
      </c>
      <c r="AB78" s="2548">
        <f>AB77*AB71</f>
        <v>9976986.75</v>
      </c>
      <c r="AC78" s="2548"/>
      <c r="AD78" s="2548"/>
      <c r="AE78" s="2548"/>
      <c r="AF78" s="2548"/>
    </row>
    <row r="79" spans="1:36" ht="12.95" customHeight="1">
      <c r="C79" s="436"/>
      <c r="D79" s="436"/>
      <c r="AB79" s="457"/>
      <c r="AC79" s="457"/>
      <c r="AD79" s="457"/>
      <c r="AE79" s="457"/>
      <c r="AF79" s="457"/>
    </row>
    <row r="80" spans="1:36" ht="12.95" customHeight="1">
      <c r="D80" s="436" t="s">
        <v>767</v>
      </c>
      <c r="AB80" s="2531">
        <f>AB49-(AB57+AB78)</f>
        <v>0.25</v>
      </c>
      <c r="AC80" s="2531"/>
      <c r="AD80" s="2531"/>
      <c r="AE80" s="2531"/>
      <c r="AF80" s="2531"/>
    </row>
    <row r="81" spans="1:78" ht="12.95" customHeight="1">
      <c r="F81" s="557"/>
      <c r="J81" s="557" t="str">
        <f>IF(AB80&gt;0,"FUNDING GAP MUST NOT EXCEED ZERO","")</f>
        <v>FUNDING GAP MUST NOT EXCEED ZERO</v>
      </c>
    </row>
    <row r="82" spans="1:78" ht="12.95" customHeight="1">
      <c r="D82" s="558"/>
    </row>
    <row r="83" spans="1:78" ht="12.95" customHeight="1" thickBot="1">
      <c r="A83" s="2496"/>
      <c r="B83" s="2496"/>
      <c r="C83" s="2496"/>
      <c r="D83" s="2496"/>
      <c r="E83" s="2496"/>
      <c r="F83" s="2496"/>
      <c r="G83" s="2496"/>
      <c r="H83" s="2496"/>
      <c r="I83" s="2496"/>
      <c r="J83" s="2496"/>
      <c r="K83" s="2496"/>
      <c r="L83" s="2496"/>
      <c r="M83" s="2496"/>
      <c r="N83" s="2496"/>
      <c r="O83" s="2496"/>
      <c r="P83" s="2496"/>
      <c r="Q83" s="2496"/>
      <c r="R83" s="2496"/>
      <c r="S83" s="2496"/>
      <c r="T83" s="2496"/>
      <c r="U83" s="2496"/>
      <c r="V83" s="2496"/>
      <c r="W83" s="2496"/>
      <c r="X83" s="2496"/>
      <c r="Y83" s="2496"/>
      <c r="Z83" s="2496"/>
      <c r="AA83" s="2496"/>
      <c r="AB83" s="2496"/>
      <c r="AC83" s="2496"/>
      <c r="AD83" s="2496"/>
      <c r="AE83" s="2496"/>
      <c r="AF83" s="2496"/>
      <c r="AG83" s="2496"/>
      <c r="AH83" s="2496"/>
      <c r="AI83" s="2496"/>
      <c r="AJ83" s="2496"/>
      <c r="AK83" s="2496"/>
      <c r="AL83" s="2496"/>
      <c r="AM83" s="2496"/>
      <c r="AN83" s="2496"/>
      <c r="AO83" s="2496"/>
      <c r="AP83" s="2496"/>
      <c r="AQ83" s="2496"/>
      <c r="AR83" s="2496"/>
      <c r="AS83" s="2496"/>
      <c r="AT83" s="2496"/>
      <c r="AU83" s="2496"/>
      <c r="AV83" s="2496"/>
      <c r="AW83" s="2496"/>
      <c r="AX83" s="2496"/>
      <c r="AY83" s="2496"/>
      <c r="AZ83" s="2496"/>
      <c r="BA83" s="2496"/>
      <c r="BB83" s="2496"/>
      <c r="BC83" s="2496"/>
      <c r="BD83" s="2496"/>
      <c r="BE83" s="2496"/>
      <c r="BF83" s="2496"/>
      <c r="BG83" s="2496"/>
      <c r="BH83" s="2496"/>
      <c r="BI83" s="2496"/>
      <c r="BJ83" s="2496"/>
      <c r="BK83" s="2496"/>
      <c r="BL83" s="2496"/>
      <c r="BM83" s="2496"/>
      <c r="BN83" s="2496"/>
      <c r="BO83" s="2496"/>
      <c r="BP83" s="2496"/>
      <c r="BQ83" s="2496"/>
      <c r="BR83" s="2496"/>
      <c r="BS83" s="2496"/>
      <c r="BT83" s="2496"/>
      <c r="BU83" s="2496"/>
      <c r="BV83" s="2496"/>
      <c r="BW83" s="2496"/>
      <c r="BX83" s="2496"/>
    </row>
    <row r="84" spans="1:78" ht="12.95" customHeight="1" thickTop="1"/>
    <row r="85" spans="1:78" ht="12.95" customHeight="1">
      <c r="A85" s="436"/>
      <c r="C85" s="219"/>
    </row>
    <row r="86" spans="1:78" ht="12.95" customHeight="1">
      <c r="D86" s="219"/>
      <c r="AB86" s="2497"/>
      <c r="AC86" s="2497"/>
      <c r="AD86" s="2497"/>
      <c r="AE86" s="2497"/>
      <c r="AF86" s="2497"/>
    </row>
    <row r="87" spans="1:78" ht="12.95" customHeight="1" thickBot="1">
      <c r="D87" s="219"/>
      <c r="AB87" s="2495"/>
      <c r="AC87" s="2495"/>
      <c r="AD87" s="2495"/>
      <c r="AE87" s="2495"/>
      <c r="AF87" s="2495"/>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I7" sqref="I7"/>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52" t="s">
        <v>943</v>
      </c>
      <c r="B1" s="2552"/>
      <c r="C1" s="2552"/>
      <c r="D1" s="2552"/>
      <c r="E1" s="2552"/>
      <c r="F1" s="2552"/>
      <c r="G1" s="2552"/>
      <c r="H1" s="2552"/>
      <c r="I1" s="2552"/>
      <c r="J1" s="2552"/>
      <c r="K1" s="218"/>
      <c r="L1" s="218"/>
    </row>
    <row r="2" spans="1:12">
      <c r="A2" s="225"/>
      <c r="B2" s="225"/>
      <c r="C2" s="225"/>
      <c r="D2" s="225"/>
      <c r="E2" s="225"/>
      <c r="F2" s="225"/>
      <c r="G2" s="225"/>
      <c r="H2" s="225"/>
      <c r="I2" s="225"/>
      <c r="J2" s="225"/>
    </row>
    <row r="3" spans="1:12" ht="99.75">
      <c r="A3" s="458" t="s">
        <v>944</v>
      </c>
      <c r="B3" s="458" t="s">
        <v>945</v>
      </c>
      <c r="C3" s="458" t="s">
        <v>2338</v>
      </c>
      <c r="D3" s="1196" t="s">
        <v>946</v>
      </c>
      <c r="E3" s="218"/>
      <c r="F3" s="1196" t="s">
        <v>947</v>
      </c>
      <c r="G3" s="458" t="s">
        <v>948</v>
      </c>
      <c r="H3" s="459"/>
      <c r="I3" s="458" t="s">
        <v>949</v>
      </c>
      <c r="J3" s="458" t="s">
        <v>950</v>
      </c>
      <c r="K3" s="218"/>
      <c r="L3" s="328"/>
    </row>
    <row r="4" spans="1:12">
      <c r="A4" s="460" t="str">
        <f>Application!B714</f>
        <v>1 Bedroom</v>
      </c>
      <c r="B4" s="1127">
        <f>Application!G714</f>
        <v>6</v>
      </c>
      <c r="C4" s="1128"/>
      <c r="D4" s="460">
        <f>Application!O714</f>
        <v>500</v>
      </c>
      <c r="E4" s="461"/>
      <c r="F4" s="1129"/>
      <c r="G4" s="460">
        <f>F4*B4</f>
        <v>0</v>
      </c>
      <c r="H4" s="461"/>
      <c r="I4" s="460" t="str">
        <f>IF(F4=0," ",(F4-D4))</f>
        <v xml:space="preserve"> </v>
      </c>
      <c r="J4" s="460" t="str">
        <f>IF(F4=0," ",(I4*B4))</f>
        <v xml:space="preserve"> </v>
      </c>
      <c r="K4" s="218"/>
      <c r="L4" s="328"/>
    </row>
    <row r="5" spans="1:12">
      <c r="A5" s="460" t="str">
        <f>Application!B715</f>
        <v>1 Bedroom</v>
      </c>
      <c r="B5" s="1127">
        <f>Application!G715</f>
        <v>4</v>
      </c>
      <c r="C5" s="1128"/>
      <c r="D5" s="460">
        <f>Application!O715</f>
        <v>946</v>
      </c>
      <c r="E5" s="461"/>
      <c r="F5" s="1129"/>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27">
        <f>Application!G716</f>
        <v>11</v>
      </c>
      <c r="C6" s="1128"/>
      <c r="D6" s="460">
        <f>Application!O716</f>
        <v>1170</v>
      </c>
      <c r="E6" s="461"/>
      <c r="F6" s="1129"/>
      <c r="G6" s="460">
        <f t="shared" si="0"/>
        <v>0</v>
      </c>
      <c r="H6" s="461"/>
      <c r="I6" s="460" t="str">
        <f t="shared" si="1"/>
        <v xml:space="preserve"> </v>
      </c>
      <c r="J6" s="460" t="str">
        <f t="shared" si="2"/>
        <v xml:space="preserve"> </v>
      </c>
      <c r="K6" s="218"/>
      <c r="L6" s="328"/>
    </row>
    <row r="7" spans="1:12">
      <c r="A7" s="460" t="str">
        <f>Application!B717</f>
        <v>1 Bedroom</v>
      </c>
      <c r="B7" s="1127">
        <f>Application!G717</f>
        <v>19</v>
      </c>
      <c r="C7" s="1128"/>
      <c r="D7" s="460">
        <f>Application!O717</f>
        <v>1393</v>
      </c>
      <c r="E7" s="461"/>
      <c r="F7" s="1129"/>
      <c r="G7" s="460">
        <f t="shared" si="0"/>
        <v>0</v>
      </c>
      <c r="H7" s="461"/>
      <c r="I7" s="460" t="str">
        <f t="shared" si="1"/>
        <v xml:space="preserve"> </v>
      </c>
      <c r="J7" s="460" t="str">
        <f t="shared" si="2"/>
        <v xml:space="preserve"> </v>
      </c>
      <c r="K7" s="218"/>
      <c r="L7" s="328"/>
    </row>
    <row r="8" spans="1:12">
      <c r="A8" s="460">
        <f>Application!B718</f>
        <v>0</v>
      </c>
      <c r="B8" s="1127">
        <f>Application!G718</f>
        <v>0</v>
      </c>
      <c r="C8" s="1128"/>
      <c r="D8" s="460">
        <f>Application!O718</f>
        <v>0</v>
      </c>
      <c r="E8" s="461"/>
      <c r="F8" s="1129"/>
      <c r="G8" s="460">
        <f t="shared" si="0"/>
        <v>0</v>
      </c>
      <c r="H8" s="461"/>
      <c r="I8" s="460" t="str">
        <f t="shared" si="1"/>
        <v xml:space="preserve"> </v>
      </c>
      <c r="J8" s="460" t="str">
        <f t="shared" si="2"/>
        <v xml:space="preserve"> </v>
      </c>
      <c r="K8" s="218"/>
      <c r="L8" s="328"/>
    </row>
    <row r="9" spans="1:12">
      <c r="A9" s="460" t="str">
        <f>Application!B719</f>
        <v>2 Bedrooms</v>
      </c>
      <c r="B9" s="1127">
        <f>Application!G719</f>
        <v>7</v>
      </c>
      <c r="C9" s="1128"/>
      <c r="D9" s="460">
        <f>Application!O719</f>
        <v>598</v>
      </c>
      <c r="E9" s="461"/>
      <c r="F9" s="1129"/>
      <c r="G9" s="460">
        <f t="shared" si="0"/>
        <v>0</v>
      </c>
      <c r="H9" s="461"/>
      <c r="I9" s="460" t="str">
        <f t="shared" si="1"/>
        <v xml:space="preserve"> </v>
      </c>
      <c r="J9" s="460" t="str">
        <f t="shared" si="2"/>
        <v xml:space="preserve"> </v>
      </c>
      <c r="K9" s="218"/>
      <c r="L9" s="328"/>
    </row>
    <row r="10" spans="1:12">
      <c r="A10" s="460" t="str">
        <f>Application!B720</f>
        <v>2 Bedrooms</v>
      </c>
      <c r="B10" s="1127">
        <f>Application!G720</f>
        <v>12</v>
      </c>
      <c r="C10" s="1128"/>
      <c r="D10" s="460">
        <f>Application!O720</f>
        <v>1134</v>
      </c>
      <c r="E10" s="461"/>
      <c r="F10" s="1129"/>
      <c r="G10" s="460">
        <f t="shared" si="0"/>
        <v>0</v>
      </c>
      <c r="H10" s="461"/>
      <c r="I10" s="460" t="str">
        <f t="shared" si="1"/>
        <v xml:space="preserve"> </v>
      </c>
      <c r="J10" s="460" t="str">
        <f t="shared" si="2"/>
        <v xml:space="preserve"> </v>
      </c>
      <c r="K10" s="218"/>
      <c r="L10" s="328"/>
    </row>
    <row r="11" spans="1:12">
      <c r="A11" s="460" t="str">
        <f>Application!B721</f>
        <v>2 Bedrooms</v>
      </c>
      <c r="B11" s="1127">
        <f>Application!G721</f>
        <v>24</v>
      </c>
      <c r="C11" s="1128"/>
      <c r="D11" s="460">
        <f>Application!O721</f>
        <v>1402</v>
      </c>
      <c r="E11" s="461"/>
      <c r="F11" s="1129"/>
      <c r="G11" s="460">
        <f t="shared" si="0"/>
        <v>0</v>
      </c>
      <c r="H11" s="461"/>
      <c r="I11" s="460" t="str">
        <f t="shared" si="1"/>
        <v xml:space="preserve"> </v>
      </c>
      <c r="J11" s="460" t="str">
        <f t="shared" si="2"/>
        <v xml:space="preserve"> </v>
      </c>
      <c r="K11" s="218"/>
      <c r="L11" s="328"/>
    </row>
    <row r="12" spans="1:12">
      <c r="A12" s="460" t="str">
        <f>Application!B722</f>
        <v>2 Bedrooms</v>
      </c>
      <c r="B12" s="1127">
        <f>Application!G722</f>
        <v>34</v>
      </c>
      <c r="C12" s="1128"/>
      <c r="D12" s="460">
        <f>Application!O722</f>
        <v>1670</v>
      </c>
      <c r="E12" s="461"/>
      <c r="F12" s="1129"/>
      <c r="G12" s="460">
        <f t="shared" si="0"/>
        <v>0</v>
      </c>
      <c r="H12" s="461"/>
      <c r="I12" s="460" t="str">
        <f t="shared" si="1"/>
        <v xml:space="preserve"> </v>
      </c>
      <c r="J12" s="460" t="str">
        <f t="shared" si="2"/>
        <v xml:space="preserve"> </v>
      </c>
      <c r="K12" s="218"/>
      <c r="L12" s="328"/>
    </row>
    <row r="13" spans="1:12">
      <c r="A13" s="460">
        <f>Application!B723</f>
        <v>0</v>
      </c>
      <c r="B13" s="1127">
        <f>Application!G723</f>
        <v>0</v>
      </c>
      <c r="C13" s="1128"/>
      <c r="D13" s="460">
        <f>Application!O723</f>
        <v>0</v>
      </c>
      <c r="E13" s="461"/>
      <c r="F13" s="1129"/>
      <c r="G13" s="460">
        <f t="shared" si="0"/>
        <v>0</v>
      </c>
      <c r="H13" s="461"/>
      <c r="I13" s="460" t="str">
        <f t="shared" si="1"/>
        <v xml:space="preserve"> </v>
      </c>
      <c r="J13" s="460" t="str">
        <f t="shared" si="2"/>
        <v xml:space="preserve"> </v>
      </c>
      <c r="K13" s="218"/>
      <c r="L13" s="328"/>
    </row>
    <row r="14" spans="1:12">
      <c r="A14" s="460" t="str">
        <f>Application!B724</f>
        <v>3 Bedrooms</v>
      </c>
      <c r="B14" s="1127">
        <f>Application!G724</f>
        <v>7</v>
      </c>
      <c r="C14" s="1128"/>
      <c r="D14" s="460">
        <f>Application!O724</f>
        <v>676</v>
      </c>
      <c r="E14" s="461"/>
      <c r="F14" s="1129"/>
      <c r="G14" s="460">
        <f t="shared" si="0"/>
        <v>0</v>
      </c>
      <c r="H14" s="461"/>
      <c r="I14" s="460" t="str">
        <f t="shared" si="1"/>
        <v xml:space="preserve"> </v>
      </c>
      <c r="J14" s="460" t="str">
        <f t="shared" si="2"/>
        <v xml:space="preserve"> </v>
      </c>
      <c r="K14" s="218"/>
      <c r="L14" s="328"/>
    </row>
    <row r="15" spans="1:12">
      <c r="A15" s="460" t="str">
        <f>Application!B725</f>
        <v>3 Bedrooms</v>
      </c>
      <c r="B15" s="1127">
        <f>Application!G725</f>
        <v>13</v>
      </c>
      <c r="C15" s="1128"/>
      <c r="D15" s="460">
        <f>Application!O725</f>
        <v>1295</v>
      </c>
      <c r="E15" s="461"/>
      <c r="F15" s="1129"/>
      <c r="G15" s="460">
        <f t="shared" si="0"/>
        <v>0</v>
      </c>
      <c r="H15" s="461"/>
      <c r="I15" s="460" t="str">
        <f t="shared" si="1"/>
        <v xml:space="preserve"> </v>
      </c>
      <c r="J15" s="460" t="str">
        <f t="shared" si="2"/>
        <v xml:space="preserve"> </v>
      </c>
      <c r="K15" s="218"/>
      <c r="L15" s="328"/>
    </row>
    <row r="16" spans="1:12">
      <c r="A16" s="460" t="str">
        <f>Application!B726</f>
        <v>3 Bedrooms</v>
      </c>
      <c r="B16" s="1127">
        <f>Application!G726</f>
        <v>24</v>
      </c>
      <c r="C16" s="1128"/>
      <c r="D16" s="460">
        <f>Application!O726</f>
        <v>1605</v>
      </c>
      <c r="E16" s="461"/>
      <c r="F16" s="1129"/>
      <c r="G16" s="460">
        <f t="shared" si="0"/>
        <v>0</v>
      </c>
      <c r="H16" s="461"/>
      <c r="I16" s="460" t="str">
        <f t="shared" si="1"/>
        <v xml:space="preserve"> </v>
      </c>
      <c r="J16" s="460" t="str">
        <f t="shared" si="2"/>
        <v xml:space="preserve"> </v>
      </c>
      <c r="K16" s="218"/>
      <c r="L16" s="328"/>
    </row>
    <row r="17" spans="1:12">
      <c r="A17" s="460" t="str">
        <f>Application!B727</f>
        <v>3 Bedrooms</v>
      </c>
      <c r="B17" s="1127">
        <f>Application!G727</f>
        <v>34</v>
      </c>
      <c r="C17" s="1128"/>
      <c r="D17" s="460">
        <f>Application!O727</f>
        <v>1915</v>
      </c>
      <c r="E17" s="461"/>
      <c r="F17" s="1129"/>
      <c r="G17" s="460">
        <f t="shared" si="0"/>
        <v>0</v>
      </c>
      <c r="H17" s="461"/>
      <c r="I17" s="460" t="str">
        <f t="shared" si="1"/>
        <v xml:space="preserve"> </v>
      </c>
      <c r="J17" s="460" t="str">
        <f t="shared" si="2"/>
        <v xml:space="preserve"> </v>
      </c>
      <c r="K17" s="218"/>
      <c r="L17" s="328"/>
    </row>
    <row r="18" spans="1:12">
      <c r="A18" s="460">
        <f>Application!B728</f>
        <v>0</v>
      </c>
      <c r="B18" s="1127">
        <f>Application!G728</f>
        <v>0</v>
      </c>
      <c r="C18" s="1128"/>
      <c r="D18" s="460">
        <f>Application!O728</f>
        <v>0</v>
      </c>
      <c r="E18" s="461"/>
      <c r="F18" s="1129"/>
      <c r="G18" s="460">
        <f t="shared" si="0"/>
        <v>0</v>
      </c>
      <c r="H18" s="461"/>
      <c r="I18" s="460" t="str">
        <f t="shared" si="1"/>
        <v xml:space="preserve"> </v>
      </c>
      <c r="J18" s="460" t="str">
        <f t="shared" si="2"/>
        <v xml:space="preserve"> </v>
      </c>
      <c r="K18" s="218"/>
      <c r="L18" s="328"/>
    </row>
    <row r="19" spans="1:12">
      <c r="A19" s="460">
        <f>Application!B729</f>
        <v>0</v>
      </c>
      <c r="B19" s="1127">
        <f>Application!G729</f>
        <v>0</v>
      </c>
      <c r="C19" s="1128"/>
      <c r="D19" s="460">
        <f>Application!O729</f>
        <v>0</v>
      </c>
      <c r="E19" s="461"/>
      <c r="F19" s="1129"/>
      <c r="G19" s="460">
        <f t="shared" si="0"/>
        <v>0</v>
      </c>
      <c r="H19" s="461"/>
      <c r="I19" s="460" t="str">
        <f t="shared" si="1"/>
        <v xml:space="preserve"> </v>
      </c>
      <c r="J19" s="460" t="str">
        <f t="shared" si="2"/>
        <v xml:space="preserve"> </v>
      </c>
      <c r="K19" s="218"/>
      <c r="L19" s="328"/>
    </row>
    <row r="20" spans="1:12">
      <c r="A20" s="460">
        <f>Application!B730</f>
        <v>0</v>
      </c>
      <c r="B20" s="1127">
        <f>Application!G730</f>
        <v>0</v>
      </c>
      <c r="C20" s="1128"/>
      <c r="D20" s="460">
        <f>Application!O730</f>
        <v>0</v>
      </c>
      <c r="E20" s="461"/>
      <c r="F20" s="1129"/>
      <c r="G20" s="460">
        <f t="shared" si="0"/>
        <v>0</v>
      </c>
      <c r="H20" s="461"/>
      <c r="I20" s="460" t="str">
        <f t="shared" si="1"/>
        <v xml:space="preserve"> </v>
      </c>
      <c r="J20" s="460" t="str">
        <f t="shared" si="2"/>
        <v xml:space="preserve"> </v>
      </c>
      <c r="K20" s="218"/>
      <c r="L20" s="328"/>
    </row>
    <row r="21" spans="1:12">
      <c r="A21" s="460">
        <f>Application!B731</f>
        <v>0</v>
      </c>
      <c r="B21" s="1127">
        <f>Application!G731</f>
        <v>0</v>
      </c>
      <c r="C21" s="1128"/>
      <c r="D21" s="460">
        <f>Application!O731</f>
        <v>0</v>
      </c>
      <c r="E21" s="461"/>
      <c r="F21" s="1129"/>
      <c r="G21" s="460">
        <f t="shared" si="0"/>
        <v>0</v>
      </c>
      <c r="H21" s="461"/>
      <c r="I21" s="460" t="str">
        <f t="shared" si="1"/>
        <v xml:space="preserve"> </v>
      </c>
      <c r="J21" s="460" t="str">
        <f t="shared" si="2"/>
        <v xml:space="preserve"> </v>
      </c>
      <c r="K21" s="218"/>
      <c r="L21" s="328"/>
    </row>
    <row r="22" spans="1:12">
      <c r="A22" s="460">
        <f>Application!B732</f>
        <v>0</v>
      </c>
      <c r="B22" s="1127">
        <f>Application!G732</f>
        <v>0</v>
      </c>
      <c r="C22" s="1128"/>
      <c r="D22" s="460">
        <f>Application!O732</f>
        <v>0</v>
      </c>
      <c r="E22" s="461"/>
      <c r="F22" s="1129"/>
      <c r="G22" s="460">
        <f t="shared" si="0"/>
        <v>0</v>
      </c>
      <c r="H22" s="461"/>
      <c r="I22" s="460" t="str">
        <f t="shared" si="1"/>
        <v xml:space="preserve"> </v>
      </c>
      <c r="J22" s="460" t="str">
        <f t="shared" si="2"/>
        <v xml:space="preserve"> </v>
      </c>
      <c r="K22" s="218"/>
      <c r="L22" s="328"/>
    </row>
    <row r="23" spans="1:12">
      <c r="A23" s="460">
        <f>Application!B733</f>
        <v>0</v>
      </c>
      <c r="B23" s="1127">
        <f>Application!G733</f>
        <v>0</v>
      </c>
      <c r="C23" s="1128"/>
      <c r="D23" s="460">
        <f>Application!O733</f>
        <v>0</v>
      </c>
      <c r="E23" s="461"/>
      <c r="F23" s="1129"/>
      <c r="G23" s="460">
        <f t="shared" si="0"/>
        <v>0</v>
      </c>
      <c r="H23" s="461"/>
      <c r="I23" s="460" t="str">
        <f t="shared" si="1"/>
        <v xml:space="preserve"> </v>
      </c>
      <c r="J23" s="460" t="str">
        <f t="shared" si="2"/>
        <v xml:space="preserve"> </v>
      </c>
      <c r="K23" s="218"/>
      <c r="L23" s="328"/>
    </row>
    <row r="24" spans="1:12">
      <c r="A24" s="460">
        <f>Application!B734</f>
        <v>0</v>
      </c>
      <c r="B24" s="1127">
        <f>Application!G734</f>
        <v>0</v>
      </c>
      <c r="C24" s="1128"/>
      <c r="D24" s="460">
        <f>Application!O734</f>
        <v>0</v>
      </c>
      <c r="E24" s="461"/>
      <c r="F24" s="1129"/>
      <c r="G24" s="460">
        <f t="shared" si="0"/>
        <v>0</v>
      </c>
      <c r="H24" s="461"/>
      <c r="I24" s="460" t="str">
        <f t="shared" si="1"/>
        <v xml:space="preserve"> </v>
      </c>
      <c r="J24" s="460" t="str">
        <f t="shared" si="2"/>
        <v xml:space="preserve"> </v>
      </c>
      <c r="K24" s="218"/>
      <c r="L24" s="328"/>
    </row>
    <row r="25" spans="1:12">
      <c r="A25" s="460">
        <f>Application!B735</f>
        <v>0</v>
      </c>
      <c r="B25" s="1127">
        <f>Application!G735</f>
        <v>0</v>
      </c>
      <c r="C25" s="1128"/>
      <c r="D25" s="460">
        <f>Application!O735</f>
        <v>0</v>
      </c>
      <c r="E25" s="461"/>
      <c r="F25" s="1129"/>
      <c r="G25" s="460">
        <f t="shared" si="0"/>
        <v>0</v>
      </c>
      <c r="H25" s="461"/>
      <c r="I25" s="460" t="str">
        <f t="shared" si="1"/>
        <v xml:space="preserve"> </v>
      </c>
      <c r="J25" s="460" t="str">
        <f t="shared" si="2"/>
        <v xml:space="preserve"> </v>
      </c>
      <c r="K25" s="218"/>
      <c r="L25" s="328"/>
    </row>
    <row r="26" spans="1:12">
      <c r="A26" s="460">
        <f>Application!B736</f>
        <v>0</v>
      </c>
      <c r="B26" s="1127">
        <f>Application!G736</f>
        <v>0</v>
      </c>
      <c r="C26" s="1128"/>
      <c r="D26" s="460">
        <f>Application!O736</f>
        <v>0</v>
      </c>
      <c r="E26" s="461"/>
      <c r="F26" s="1129"/>
      <c r="G26" s="460">
        <f t="shared" si="0"/>
        <v>0</v>
      </c>
      <c r="H26" s="461"/>
      <c r="I26" s="460" t="str">
        <f t="shared" si="1"/>
        <v xml:space="preserve"> </v>
      </c>
      <c r="J26" s="460" t="str">
        <f t="shared" si="2"/>
        <v xml:space="preserve"> </v>
      </c>
      <c r="K26" s="218"/>
      <c r="L26" s="328"/>
    </row>
    <row r="27" spans="1:12">
      <c r="A27" s="460">
        <f>Application!B737</f>
        <v>0</v>
      </c>
      <c r="B27" s="1127">
        <f>Application!G737</f>
        <v>0</v>
      </c>
      <c r="C27" s="1128"/>
      <c r="D27" s="460">
        <f>Application!O737</f>
        <v>0</v>
      </c>
      <c r="E27" s="461"/>
      <c r="F27" s="1129"/>
      <c r="G27" s="460">
        <f t="shared" si="0"/>
        <v>0</v>
      </c>
      <c r="H27" s="461"/>
      <c r="I27" s="460" t="str">
        <f t="shared" si="1"/>
        <v xml:space="preserve"> </v>
      </c>
      <c r="J27" s="460" t="str">
        <f t="shared" si="2"/>
        <v xml:space="preserve"> </v>
      </c>
      <c r="K27" s="218"/>
      <c r="L27" s="328"/>
    </row>
    <row r="28" spans="1:12">
      <c r="A28" s="460">
        <f>Application!B738</f>
        <v>0</v>
      </c>
      <c r="B28" s="1127">
        <f>Application!G738</f>
        <v>0</v>
      </c>
      <c r="C28" s="1128"/>
      <c r="D28" s="460">
        <f>Application!O738</f>
        <v>0</v>
      </c>
      <c r="E28" s="461"/>
      <c r="F28" s="1129"/>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279540</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2520</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BK217"/>
  <sheetViews>
    <sheetView topLeftCell="A40" zoomScaleNormal="100" zoomScaleSheetLayoutView="100" workbookViewId="0">
      <selection activeCell="AC62" sqref="AC62:BK62"/>
    </sheetView>
  </sheetViews>
  <sheetFormatPr defaultColWidth="8.85546875"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5703125" customWidth="1"/>
    <col min="35" max="35" width="11.28515625" bestFit="1" customWidth="1"/>
    <col min="36" max="36" width="2.5703125" customWidth="1"/>
    <col min="37" max="37" width="11.28515625" bestFit="1" customWidth="1"/>
    <col min="38" max="38" width="2.28515625" customWidth="1"/>
    <col min="39" max="39" width="11.28515625" bestFit="1" customWidth="1"/>
    <col min="40" max="40" width="3.28515625" customWidth="1"/>
    <col min="41" max="41" width="11.28515625" bestFit="1" customWidth="1"/>
    <col min="42" max="42" width="3.28515625" customWidth="1"/>
    <col min="43" max="43" width="11.28515625" bestFit="1" customWidth="1"/>
    <col min="44" max="44" width="3.28515625" customWidth="1"/>
    <col min="45" max="45" width="11.28515625" bestFit="1" customWidth="1"/>
    <col min="46" max="46" width="3.28515625" customWidth="1"/>
    <col min="47" max="47" width="11.28515625" bestFit="1" customWidth="1"/>
    <col min="48" max="48" width="3.28515625" customWidth="1"/>
    <col min="49" max="49" width="11.28515625" bestFit="1" customWidth="1"/>
    <col min="50" max="50" width="3.28515625" customWidth="1"/>
    <col min="51" max="51" width="11.28515625" bestFit="1" customWidth="1"/>
    <col min="52" max="52" width="3.28515625" customWidth="1"/>
    <col min="53" max="53" width="11.28515625" bestFit="1" customWidth="1"/>
    <col min="54" max="54" width="3.28515625" customWidth="1"/>
    <col min="55" max="55" width="11.28515625" bestFit="1" customWidth="1"/>
    <col min="56" max="56" width="3.28515625" customWidth="1"/>
    <col min="57" max="57" width="11.28515625" bestFit="1" customWidth="1"/>
    <col min="58" max="58" width="3.28515625" customWidth="1"/>
    <col min="59" max="59" width="11.28515625" bestFit="1" customWidth="1"/>
    <col min="60" max="60" width="3.28515625" customWidth="1"/>
    <col min="61" max="61" width="11.28515625" bestFit="1" customWidth="1"/>
    <col min="62" max="62" width="3.28515625" customWidth="1"/>
    <col min="63" max="63" width="11.28515625" bestFit="1" customWidth="1"/>
    <col min="64" max="16383" width="0" hidden="1" customWidth="1"/>
  </cols>
  <sheetData>
    <row r="1" spans="1:63" ht="18">
      <c r="A1" s="226" t="s">
        <v>2510</v>
      </c>
      <c r="B1" s="226"/>
    </row>
    <row r="2" spans="1:63"/>
    <row r="3" spans="1:63" s="13" customFormat="1" ht="15.75">
      <c r="A3" s="227" t="s">
        <v>848</v>
      </c>
      <c r="B3" s="227"/>
      <c r="C3" s="251" t="s">
        <v>849</v>
      </c>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252"/>
      <c r="AI3" s="252" t="s">
        <v>2764</v>
      </c>
      <c r="AJ3" s="252"/>
      <c r="AK3" s="252" t="s">
        <v>2765</v>
      </c>
      <c r="AL3" s="252"/>
      <c r="AM3" s="252" t="s">
        <v>2766</v>
      </c>
      <c r="AN3" s="252"/>
      <c r="AO3" s="252" t="s">
        <v>2767</v>
      </c>
      <c r="AP3" s="252"/>
      <c r="AQ3" s="252" t="s">
        <v>2768</v>
      </c>
      <c r="AR3" s="252"/>
      <c r="AS3" s="252" t="s">
        <v>2769</v>
      </c>
      <c r="AT3" s="252"/>
      <c r="AU3" s="252" t="s">
        <v>2770</v>
      </c>
      <c r="AV3" s="252"/>
      <c r="AW3" s="252" t="s">
        <v>2771</v>
      </c>
      <c r="AX3" s="252"/>
      <c r="AY3" s="252" t="s">
        <v>2772</v>
      </c>
      <c r="AZ3" s="252"/>
      <c r="BA3" s="252" t="s">
        <v>2773</v>
      </c>
      <c r="BB3" s="252"/>
      <c r="BC3" s="252" t="s">
        <v>2774</v>
      </c>
      <c r="BD3" s="252"/>
      <c r="BE3" s="252" t="s">
        <v>2775</v>
      </c>
      <c r="BF3" s="252"/>
      <c r="BG3" s="252" t="s">
        <v>2776</v>
      </c>
      <c r="BH3" s="252"/>
      <c r="BI3" s="252" t="s">
        <v>2777</v>
      </c>
      <c r="BJ3" s="252"/>
      <c r="BK3" s="252" t="s">
        <v>2778</v>
      </c>
    </row>
    <row r="4" spans="1:63" s="235" customFormat="1" ht="14.25">
      <c r="A4" s="235" t="s">
        <v>866</v>
      </c>
      <c r="C4" s="253">
        <v>1.0249999999999999</v>
      </c>
      <c r="E4" s="235">
        <f>Application!Y785</f>
        <v>3354480</v>
      </c>
      <c r="G4" s="235">
        <f>E4*$C$4</f>
        <v>3438341.9999999995</v>
      </c>
      <c r="I4" s="235">
        <f>G4*$C$4</f>
        <v>3524300.5499999993</v>
      </c>
      <c r="K4" s="235">
        <f>I4*$C$4</f>
        <v>3612408.0637499988</v>
      </c>
      <c r="M4" s="235">
        <f>K4*$C$4</f>
        <v>3702718.2653437485</v>
      </c>
      <c r="O4" s="235">
        <f>M4*$C$4</f>
        <v>3795286.2219773419</v>
      </c>
      <c r="Q4" s="235">
        <f>O4*$C$4</f>
        <v>3890168.377526775</v>
      </c>
      <c r="S4" s="235">
        <f>Q4*$C$4</f>
        <v>3987422.5869649439</v>
      </c>
      <c r="U4" s="235">
        <f>S4*$C$4</f>
        <v>4087108.1516390671</v>
      </c>
      <c r="W4" s="235">
        <f>U4*$C$4</f>
        <v>4189285.8554300433</v>
      </c>
      <c r="Y4" s="235">
        <f>W4*$C$4</f>
        <v>4294018.001815794</v>
      </c>
      <c r="AA4" s="235">
        <f>Y4*$C$4</f>
        <v>4401368.4518611887</v>
      </c>
      <c r="AC4" s="235">
        <f>AA4*$C$4</f>
        <v>4511402.6631577183</v>
      </c>
      <c r="AE4" s="235">
        <f>AC4*$C$4</f>
        <v>4624187.7297366606</v>
      </c>
      <c r="AG4" s="235">
        <f>AE4*$C$4</f>
        <v>4739792.4229800766</v>
      </c>
      <c r="AI4" s="235">
        <f>AG4*$C$4</f>
        <v>4858287.2335545784</v>
      </c>
      <c r="AK4" s="235">
        <f>AI4*$C$4</f>
        <v>4979744.4143934427</v>
      </c>
      <c r="AM4" s="235">
        <f t="shared" ref="AM4" si="0">AK4*$C$4</f>
        <v>5104238.0247532781</v>
      </c>
      <c r="AO4" s="235">
        <f t="shared" ref="AO4" si="1">AM4*$C$4</f>
        <v>5231843.9753721096</v>
      </c>
      <c r="AQ4" s="235">
        <f t="shared" ref="AQ4" si="2">AO4*$C$4</f>
        <v>5362640.0747564118</v>
      </c>
      <c r="AS4" s="235">
        <f t="shared" ref="AS4" si="3">AQ4*$C$4</f>
        <v>5496706.076625322</v>
      </c>
      <c r="AU4" s="235">
        <f t="shared" ref="AU4" si="4">AS4*$C$4</f>
        <v>5634123.7285409542</v>
      </c>
      <c r="AW4" s="235">
        <f t="shared" ref="AW4" si="5">AU4*$C$4</f>
        <v>5774976.8217544779</v>
      </c>
      <c r="AY4" s="235">
        <f t="shared" ref="AY4" si="6">AW4*$C$4</f>
        <v>5919351.2422983395</v>
      </c>
      <c r="BA4" s="235">
        <f t="shared" ref="BA4" si="7">AY4*$C$4</f>
        <v>6067335.0233557979</v>
      </c>
      <c r="BC4" s="235">
        <f t="shared" ref="BC4" si="8">BA4*$C$4</f>
        <v>6219018.3989396924</v>
      </c>
      <c r="BE4" s="235">
        <f t="shared" ref="BE4" si="9">BC4*$C$4</f>
        <v>6374493.8589131841</v>
      </c>
      <c r="BG4" s="235">
        <f t="shared" ref="BG4" si="10">BE4*$C$4</f>
        <v>6533856.2053860128</v>
      </c>
      <c r="BI4" s="235">
        <f t="shared" ref="BI4" si="11">BG4*$C$4</f>
        <v>6697202.6105206627</v>
      </c>
      <c r="BK4" s="235">
        <f t="shared" ref="BK4" si="12">BI4*$C$4</f>
        <v>6864632.6757836789</v>
      </c>
    </row>
    <row r="5" spans="1:63" s="225" customFormat="1" ht="14.25">
      <c r="B5" s="225" t="s">
        <v>867</v>
      </c>
      <c r="C5" s="254">
        <f>IF(Application!$D$210="Special Needs",0.1,0.05)</f>
        <v>0.05</v>
      </c>
      <c r="E5" s="237">
        <f>-E4*$C$5</f>
        <v>-167724</v>
      </c>
      <c r="F5" s="237"/>
      <c r="G5" s="237">
        <f>-G4*$C$5</f>
        <v>-171917.09999999998</v>
      </c>
      <c r="H5" s="237"/>
      <c r="I5" s="237">
        <f>-I4*$C$5</f>
        <v>-176215.02749999997</v>
      </c>
      <c r="J5" s="237"/>
      <c r="K5" s="237">
        <f>-K4*$C$5</f>
        <v>-180620.40318749996</v>
      </c>
      <c r="L5" s="237"/>
      <c r="M5" s="237">
        <f>-M4*$C$5</f>
        <v>-185135.91326718742</v>
      </c>
      <c r="N5" s="237"/>
      <c r="O5" s="237">
        <f>-O4*$C$5</f>
        <v>-189764.3110988671</v>
      </c>
      <c r="P5" s="237"/>
      <c r="Q5" s="237">
        <f>-Q4*$C$5</f>
        <v>-194508.41887633875</v>
      </c>
      <c r="R5" s="237"/>
      <c r="S5" s="237">
        <f>-S4*$C$5</f>
        <v>-199371.1293482472</v>
      </c>
      <c r="T5" s="237"/>
      <c r="U5" s="237">
        <f>-U4*$C$5</f>
        <v>-204355.40758195336</v>
      </c>
      <c r="V5" s="237"/>
      <c r="W5" s="237">
        <f>-W4*$C$5</f>
        <v>-209464.29277150217</v>
      </c>
      <c r="X5" s="237"/>
      <c r="Y5" s="237">
        <f>-Y4*$C$5</f>
        <v>-214700.90009078971</v>
      </c>
      <c r="Z5" s="237"/>
      <c r="AA5" s="237">
        <f>-AA4*$C$5</f>
        <v>-220068.42259305945</v>
      </c>
      <c r="AB5" s="237"/>
      <c r="AC5" s="237">
        <f>-AC4*$C$5</f>
        <v>-225570.13315788592</v>
      </c>
      <c r="AD5" s="237"/>
      <c r="AE5" s="237">
        <f>-AE4*$C$5</f>
        <v>-231209.38648683304</v>
      </c>
      <c r="AF5" s="237"/>
      <c r="AG5" s="237">
        <f>-AG4*$C$5</f>
        <v>-236989.62114900385</v>
      </c>
      <c r="AH5" s="237"/>
      <c r="AI5" s="237">
        <f t="shared" ref="AI5" si="13">-AI4*$C$5</f>
        <v>-242914.36167772894</v>
      </c>
      <c r="AJ5" s="237"/>
      <c r="AK5" s="237">
        <f t="shared" ref="AK5" si="14">-AK4*$C$5</f>
        <v>-248987.22071967216</v>
      </c>
      <c r="AM5" s="237">
        <f t="shared" ref="AM5" si="15">-AM4*$C$5</f>
        <v>-255211.90123766393</v>
      </c>
      <c r="AO5" s="237">
        <f t="shared" ref="AO5" si="16">-AO4*$C$5</f>
        <v>-261592.19876860548</v>
      </c>
      <c r="AQ5" s="237">
        <f t="shared" ref="AQ5" si="17">-AQ4*$C$5</f>
        <v>-268132.0037378206</v>
      </c>
      <c r="AS5" s="237">
        <f t="shared" ref="AS5" si="18">-AS4*$C$5</f>
        <v>-274835.30383126612</v>
      </c>
      <c r="AU5" s="237">
        <f t="shared" ref="AU5" si="19">-AU4*$C$5</f>
        <v>-281706.18642704771</v>
      </c>
      <c r="AW5" s="237">
        <f t="shared" ref="AW5" si="20">-AW4*$C$5</f>
        <v>-288748.84108772391</v>
      </c>
      <c r="AY5" s="237">
        <f t="shared" ref="AY5" si="21">-AY4*$C$5</f>
        <v>-295967.56211491697</v>
      </c>
      <c r="BA5" s="237">
        <f t="shared" ref="BA5" si="22">-BA4*$C$5</f>
        <v>-303366.75116778992</v>
      </c>
      <c r="BC5" s="237">
        <f t="shared" ref="BC5" si="23">-BC4*$C$5</f>
        <v>-310950.91994698462</v>
      </c>
      <c r="BE5" s="237">
        <f t="shared" ref="BE5" si="24">-BE4*$C$5</f>
        <v>-318724.69294565922</v>
      </c>
      <c r="BG5" s="237">
        <f t="shared" ref="BG5" si="25">-BG4*$C$5</f>
        <v>-326692.81026930065</v>
      </c>
      <c r="BI5" s="237">
        <f t="shared" ref="BI5" si="26">-BI4*$C$5</f>
        <v>-334860.13052603317</v>
      </c>
      <c r="BK5" s="237">
        <f t="shared" ref="BK5" si="27">-BK4*$C$5</f>
        <v>-343231.63378918398</v>
      </c>
    </row>
    <row r="6" spans="1:63" s="225" customFormat="1" ht="14.2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c r="AH6" s="238"/>
      <c r="AI6" s="238">
        <f>AG6*$C$6</f>
        <v>0</v>
      </c>
      <c r="AJ6" s="238"/>
      <c r="AK6" s="238">
        <f>AI6*$C$6</f>
        <v>0</v>
      </c>
      <c r="AM6" s="238">
        <f t="shared" ref="AM6" si="28">AK6*$C$6</f>
        <v>0</v>
      </c>
      <c r="AO6" s="238">
        <f t="shared" ref="AO6" si="29">AM6*$C$6</f>
        <v>0</v>
      </c>
      <c r="AQ6" s="238">
        <f t="shared" ref="AQ6" si="30">AO6*$C$6</f>
        <v>0</v>
      </c>
      <c r="AS6" s="238">
        <f t="shared" ref="AS6" si="31">AQ6*$C$6</f>
        <v>0</v>
      </c>
      <c r="AU6" s="238">
        <f t="shared" ref="AU6" si="32">AS6*$C$6</f>
        <v>0</v>
      </c>
      <c r="AW6" s="238">
        <f t="shared" ref="AW6" si="33">AU6*$C$6</f>
        <v>0</v>
      </c>
      <c r="AY6" s="238">
        <f t="shared" ref="AY6" si="34">AW6*$C$6</f>
        <v>0</v>
      </c>
      <c r="BA6" s="238">
        <f t="shared" ref="BA6" si="35">AY6*$C$6</f>
        <v>0</v>
      </c>
      <c r="BC6" s="238">
        <f t="shared" ref="BC6" si="36">BA6*$C$6</f>
        <v>0</v>
      </c>
      <c r="BE6" s="238">
        <f t="shared" ref="BE6" si="37">BC6*$C$6</f>
        <v>0</v>
      </c>
      <c r="BG6" s="238">
        <f t="shared" ref="BG6" si="38">BE6*$C$6</f>
        <v>0</v>
      </c>
      <c r="BI6" s="238">
        <f t="shared" ref="BI6" si="39">BG6*$C$6</f>
        <v>0</v>
      </c>
      <c r="BK6" s="238">
        <f t="shared" ref="BK6" si="40">BI6*$C$6</f>
        <v>0</v>
      </c>
    </row>
    <row r="7" spans="1:63" s="225" customFormat="1" ht="14.2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c r="AH7" s="237"/>
      <c r="AI7" s="237">
        <f t="shared" ref="AI7" si="41">-AI6*$C$7</f>
        <v>0</v>
      </c>
      <c r="AJ7" s="237"/>
      <c r="AK7" s="237">
        <f t="shared" ref="AK7" si="42">-AK6*$C$7</f>
        <v>0</v>
      </c>
      <c r="AM7" s="237">
        <f t="shared" ref="AM7" si="43">-AM6*$C$7</f>
        <v>0</v>
      </c>
      <c r="AO7" s="237">
        <f t="shared" ref="AO7" si="44">-AO6*$C$7</f>
        <v>0</v>
      </c>
      <c r="AQ7" s="237">
        <f t="shared" ref="AQ7" si="45">-AQ6*$C$7</f>
        <v>0</v>
      </c>
      <c r="AS7" s="237">
        <f t="shared" ref="AS7" si="46">-AS6*$C$7</f>
        <v>0</v>
      </c>
      <c r="AU7" s="237">
        <f t="shared" ref="AU7" si="47">-AU6*$C$7</f>
        <v>0</v>
      </c>
      <c r="AW7" s="237">
        <f t="shared" ref="AW7" si="48">-AW6*$C$7</f>
        <v>0</v>
      </c>
      <c r="AY7" s="237">
        <f t="shared" ref="AY7" si="49">-AY6*$C$7</f>
        <v>0</v>
      </c>
      <c r="BA7" s="237">
        <f t="shared" ref="BA7" si="50">-BA6*$C$7</f>
        <v>0</v>
      </c>
      <c r="BC7" s="237">
        <f t="shared" ref="BC7" si="51">-BC6*$C$7</f>
        <v>0</v>
      </c>
      <c r="BE7" s="237">
        <f t="shared" ref="BE7" si="52">-BE6*$C$7</f>
        <v>0</v>
      </c>
      <c r="BG7" s="237">
        <f t="shared" ref="BG7" si="53">-BG6*$C$7</f>
        <v>0</v>
      </c>
      <c r="BI7" s="237">
        <f t="shared" ref="BI7" si="54">-BI6*$C$7</f>
        <v>0</v>
      </c>
      <c r="BK7" s="237">
        <f t="shared" ref="BK7" si="55">-BK6*$C$7</f>
        <v>0</v>
      </c>
    </row>
    <row r="8" spans="1:63" s="225" customFormat="1" ht="14.25">
      <c r="A8" s="225" t="s">
        <v>290</v>
      </c>
      <c r="C8" s="253">
        <v>1.0249999999999999</v>
      </c>
      <c r="E8" s="238">
        <f>Application!Z801</f>
        <v>196620</v>
      </c>
      <c r="F8" s="238"/>
      <c r="G8" s="238">
        <f>E8*$C$8</f>
        <v>201535.49999999997</v>
      </c>
      <c r="H8" s="238"/>
      <c r="I8" s="238">
        <f>G8*$C$8</f>
        <v>206573.88749999995</v>
      </c>
      <c r="J8" s="238"/>
      <c r="K8" s="238">
        <f>I8*$C$8</f>
        <v>211738.23468749993</v>
      </c>
      <c r="L8" s="238"/>
      <c r="M8" s="238">
        <f>K8*$C$8</f>
        <v>217031.6905546874</v>
      </c>
      <c r="N8" s="238"/>
      <c r="O8" s="238">
        <f>M8*$C$8</f>
        <v>222457.48281855456</v>
      </c>
      <c r="P8" s="238"/>
      <c r="Q8" s="238">
        <f>O8*$C$8</f>
        <v>228018.91988901841</v>
      </c>
      <c r="R8" s="238"/>
      <c r="S8" s="238">
        <f>Q8*$C$8</f>
        <v>233719.39288624385</v>
      </c>
      <c r="T8" s="238"/>
      <c r="U8" s="238">
        <f>S8*$C$8</f>
        <v>239562.37770839993</v>
      </c>
      <c r="V8" s="238"/>
      <c r="W8" s="238">
        <f>U8*$C$8</f>
        <v>245551.43715110992</v>
      </c>
      <c r="X8" s="238"/>
      <c r="Y8" s="238">
        <f>W8*$C$8</f>
        <v>251690.22307988766</v>
      </c>
      <c r="Z8" s="238"/>
      <c r="AA8" s="238">
        <f>Y8*$C$8</f>
        <v>257982.47865688484</v>
      </c>
      <c r="AB8" s="238"/>
      <c r="AC8" s="238">
        <f>AA8*$C$8</f>
        <v>264432.04062330694</v>
      </c>
      <c r="AD8" s="238"/>
      <c r="AE8" s="238">
        <f>AC8*$C$8</f>
        <v>271042.84163888957</v>
      </c>
      <c r="AF8" s="238"/>
      <c r="AG8" s="238">
        <f>AE8*$C$8</f>
        <v>277818.91267986177</v>
      </c>
      <c r="AH8" s="238"/>
      <c r="AI8" s="238">
        <f>AG8*$C$8</f>
        <v>284764.38549685827</v>
      </c>
      <c r="AJ8" s="238"/>
      <c r="AK8" s="238">
        <f>AI8*$C$8</f>
        <v>291883.49513427971</v>
      </c>
      <c r="AM8" s="238">
        <f t="shared" ref="AM8" si="56">AK8*$C$8</f>
        <v>299180.58251263667</v>
      </c>
      <c r="AO8" s="238">
        <f t="shared" ref="AO8" si="57">AM8*$C$8</f>
        <v>306660.09707545256</v>
      </c>
      <c r="AQ8" s="238">
        <f t="shared" ref="AQ8" si="58">AO8*$C$8</f>
        <v>314326.59950233885</v>
      </c>
      <c r="AS8" s="238">
        <f t="shared" ref="AS8" si="59">AQ8*$C$8</f>
        <v>322184.76448989729</v>
      </c>
      <c r="AU8" s="238">
        <f t="shared" ref="AU8" si="60">AS8*$C$8</f>
        <v>330239.38360214472</v>
      </c>
      <c r="AW8" s="238">
        <f t="shared" ref="AW8" si="61">AU8*$C$8</f>
        <v>338495.36819219834</v>
      </c>
      <c r="AY8" s="238">
        <f t="shared" ref="AY8" si="62">AW8*$C$8</f>
        <v>346957.75239700329</v>
      </c>
      <c r="BA8" s="238">
        <f t="shared" ref="BA8" si="63">AY8*$C$8</f>
        <v>355631.69620692835</v>
      </c>
      <c r="BC8" s="238">
        <f t="shared" ref="BC8" si="64">BA8*$C$8</f>
        <v>364522.48861210153</v>
      </c>
      <c r="BE8" s="238">
        <f t="shared" ref="BE8" si="65">BC8*$C$8</f>
        <v>373635.55082740402</v>
      </c>
      <c r="BG8" s="238">
        <f t="shared" ref="BG8" si="66">BE8*$C$8</f>
        <v>382976.43959808908</v>
      </c>
      <c r="BI8" s="238">
        <f t="shared" ref="BI8" si="67">BG8*$C$8</f>
        <v>392550.8505880413</v>
      </c>
      <c r="BK8" s="238">
        <f t="shared" ref="BK8" si="68">BI8*$C$8</f>
        <v>402364.62185274228</v>
      </c>
    </row>
    <row r="9" spans="1:63" s="225" customFormat="1" ht="14.25">
      <c r="B9" s="225" t="s">
        <v>867</v>
      </c>
      <c r="C9" s="254">
        <f>IF(Application!$D$210="Special Needs",0.1,0.05)</f>
        <v>0.05</v>
      </c>
      <c r="E9" s="237">
        <f>-E8*$C$9</f>
        <v>-9831</v>
      </c>
      <c r="F9" s="237"/>
      <c r="G9" s="237">
        <f>-G8*$C$9</f>
        <v>-10076.775</v>
      </c>
      <c r="H9" s="237"/>
      <c r="I9" s="237">
        <f>-I8*$C$9</f>
        <v>-10328.694374999999</v>
      </c>
      <c r="J9" s="237"/>
      <c r="K9" s="237">
        <f>-K8*$C$9</f>
        <v>-10586.911734374997</v>
      </c>
      <c r="L9" s="237"/>
      <c r="M9" s="237">
        <f>-M8*$C$9</f>
        <v>-10851.584527734371</v>
      </c>
      <c r="N9" s="237"/>
      <c r="O9" s="237">
        <f>-O8*$C$9</f>
        <v>-11122.874140927728</v>
      </c>
      <c r="P9" s="237"/>
      <c r="Q9" s="237">
        <f>-Q8*$C$9</f>
        <v>-11400.945994450922</v>
      </c>
      <c r="R9" s="237"/>
      <c r="S9" s="237">
        <f>-S8*$C$9</f>
        <v>-11685.969644312194</v>
      </c>
      <c r="T9" s="237"/>
      <c r="U9" s="237">
        <f>-U8*$C$9</f>
        <v>-11978.118885419997</v>
      </c>
      <c r="V9" s="237"/>
      <c r="W9" s="237">
        <f>-W8*$C$9</f>
        <v>-12277.571857555497</v>
      </c>
      <c r="X9" s="237"/>
      <c r="Y9" s="237">
        <f>-Y8*$C$9</f>
        <v>-12584.511153994383</v>
      </c>
      <c r="Z9" s="237"/>
      <c r="AA9" s="237">
        <f>-AA8*$C$9</f>
        <v>-12899.123932844243</v>
      </c>
      <c r="AB9" s="237"/>
      <c r="AC9" s="237">
        <f>-AC8*$C$9</f>
        <v>-13221.602031165348</v>
      </c>
      <c r="AD9" s="237"/>
      <c r="AE9" s="237">
        <f>-AE8*$C$9</f>
        <v>-13552.142081944479</v>
      </c>
      <c r="AF9" s="237"/>
      <c r="AG9" s="237">
        <f>-AG8*$C$9</f>
        <v>-13890.945633993089</v>
      </c>
      <c r="AH9" s="237"/>
      <c r="AI9" s="237">
        <f t="shared" ref="AI9" si="69">-AI8*$C$9</f>
        <v>-14238.219274842915</v>
      </c>
      <c r="AJ9" s="237"/>
      <c r="AK9" s="237">
        <f t="shared" ref="AK9" si="70">-AK8*$C$9</f>
        <v>-14594.174756713986</v>
      </c>
      <c r="AM9" s="237">
        <f t="shared" ref="AM9" si="71">-AM8*$C$9</f>
        <v>-14959.029125631834</v>
      </c>
      <c r="AO9" s="237">
        <f t="shared" ref="AO9" si="72">-AO8*$C$9</f>
        <v>-15333.004853772629</v>
      </c>
      <c r="AQ9" s="237">
        <f t="shared" ref="AQ9" si="73">-AQ8*$C$9</f>
        <v>-15716.329975116943</v>
      </c>
      <c r="AS9" s="237">
        <f t="shared" ref="AS9" si="74">-AS8*$C$9</f>
        <v>-16109.238224494866</v>
      </c>
      <c r="AU9" s="237">
        <f t="shared" ref="AU9" si="75">-AU8*$C$9</f>
        <v>-16511.969180107237</v>
      </c>
      <c r="AW9" s="237">
        <f t="shared" ref="AW9" si="76">-AW8*$C$9</f>
        <v>-16924.768409609918</v>
      </c>
      <c r="AY9" s="237">
        <f t="shared" ref="AY9" si="77">-AY8*$C$9</f>
        <v>-17347.887619850164</v>
      </c>
      <c r="BA9" s="237">
        <f t="shared" ref="BA9" si="78">-BA8*$C$9</f>
        <v>-17781.58481034642</v>
      </c>
      <c r="BC9" s="237">
        <f t="shared" ref="BC9" si="79">-BC8*$C$9</f>
        <v>-18226.124430605076</v>
      </c>
      <c r="BE9" s="237">
        <f t="shared" ref="BE9" si="80">-BE8*$C$9</f>
        <v>-18681.7775413702</v>
      </c>
      <c r="BG9" s="237">
        <f t="shared" ref="BG9" si="81">-BG8*$C$9</f>
        <v>-19148.821979904456</v>
      </c>
      <c r="BI9" s="237">
        <f t="shared" ref="BI9" si="82">-BI8*$C$9</f>
        <v>-19627.542529402064</v>
      </c>
      <c r="BK9" s="237">
        <f t="shared" ref="BK9" si="83">-BK8*$C$9</f>
        <v>-20118.231092637114</v>
      </c>
    </row>
    <row r="10" spans="1:63" s="225" customFormat="1" ht="14.25">
      <c r="A10" s="1193" t="s">
        <v>2515</v>
      </c>
      <c r="B10" s="1193"/>
      <c r="C10" s="254"/>
      <c r="E10" s="1194"/>
      <c r="F10" s="238"/>
      <c r="G10" s="1194"/>
      <c r="H10" s="238"/>
      <c r="I10" s="1194"/>
      <c r="J10" s="238"/>
      <c r="K10" s="1194"/>
      <c r="L10" s="238"/>
      <c r="M10" s="1194"/>
      <c r="N10" s="238"/>
      <c r="O10" s="1194"/>
      <c r="P10" s="238"/>
      <c r="Q10" s="1194"/>
      <c r="R10" s="238"/>
      <c r="S10" s="1194"/>
      <c r="T10" s="238"/>
      <c r="U10" s="1194"/>
      <c r="V10" s="238"/>
      <c r="W10" s="1194"/>
      <c r="X10" s="238"/>
      <c r="Y10" s="1194"/>
      <c r="Z10" s="238"/>
      <c r="AA10" s="1194"/>
      <c r="AB10" s="238"/>
      <c r="AC10" s="1194"/>
      <c r="AD10" s="238"/>
      <c r="AE10" s="1194"/>
      <c r="AF10" s="238"/>
      <c r="AG10" s="1194"/>
      <c r="AH10" s="1194"/>
      <c r="AI10" s="1194"/>
      <c r="AJ10" s="1194"/>
      <c r="AK10" s="1194"/>
      <c r="AM10" s="1194"/>
      <c r="AO10" s="1194"/>
      <c r="AQ10" s="1194"/>
      <c r="AS10" s="1194"/>
      <c r="AU10" s="1194"/>
      <c r="AW10" s="1194"/>
      <c r="AY10" s="1194"/>
      <c r="BA10" s="1194"/>
      <c r="BC10" s="1194"/>
      <c r="BE10" s="1194"/>
      <c r="BG10" s="1194"/>
      <c r="BI10" s="1194"/>
      <c r="BK10" s="1194"/>
    </row>
    <row r="11" spans="1:63" s="239" customFormat="1" ht="15">
      <c r="A11" s="239" t="s">
        <v>888</v>
      </c>
      <c r="C11" s="231"/>
      <c r="E11" s="239">
        <f>SUM(E4:E10)</f>
        <v>3373545</v>
      </c>
      <c r="G11" s="239">
        <f>SUM(G4:G10)</f>
        <v>3457883.6249999995</v>
      </c>
      <c r="I11" s="239">
        <f>SUM(I4:I10)</f>
        <v>3544330.7156249993</v>
      </c>
      <c r="K11" s="239">
        <f>SUM(K4:K10)</f>
        <v>3632938.983515624</v>
      </c>
      <c r="M11" s="239">
        <f>SUM(M4:M10)</f>
        <v>3723762.4581035143</v>
      </c>
      <c r="O11" s="239">
        <f>SUM(O4:O10)</f>
        <v>3816856.5195561019</v>
      </c>
      <c r="Q11" s="239">
        <f>SUM(Q4:Q10)</f>
        <v>3912277.9325450039</v>
      </c>
      <c r="S11" s="239">
        <f>SUM(S4:S10)</f>
        <v>4010084.8808586281</v>
      </c>
      <c r="U11" s="239">
        <f>SUM(U4:U10)</f>
        <v>4110337.0028800941</v>
      </c>
      <c r="W11" s="239">
        <f>SUM(W4:W10)</f>
        <v>4213095.4279520949</v>
      </c>
      <c r="Y11" s="239">
        <f>SUM(Y4:Y10)</f>
        <v>4318422.8136508977</v>
      </c>
      <c r="AA11" s="239">
        <f>SUM(AA4:AA10)</f>
        <v>4426383.38399217</v>
      </c>
      <c r="AC11" s="239">
        <f>SUM(AC4:AC10)</f>
        <v>4537042.9685919741</v>
      </c>
      <c r="AE11" s="239">
        <f>SUM(AE4:AE10)</f>
        <v>4650469.0428067725</v>
      </c>
      <c r="AG11" s="239">
        <f>SUM(AG4:AG10)</f>
        <v>4766730.7688769409</v>
      </c>
      <c r="AI11" s="239">
        <f t="shared" ref="AI11" si="84">SUM(AI4:AI10)</f>
        <v>4885899.0380988652</v>
      </c>
      <c r="AK11" s="239">
        <f t="shared" ref="AK11" si="85">SUM(AK4:AK10)</f>
        <v>5008046.5140513368</v>
      </c>
      <c r="AM11" s="239">
        <f t="shared" ref="AM11" si="86">SUM(AM4:AM10)</f>
        <v>5133247.6769026192</v>
      </c>
      <c r="AO11" s="239">
        <f t="shared" ref="AO11" si="87">SUM(AO4:AO10)</f>
        <v>5261578.8688251833</v>
      </c>
      <c r="AQ11" s="239">
        <f t="shared" ref="AQ11" si="88">SUM(AQ4:AQ10)</f>
        <v>5393118.3405458136</v>
      </c>
      <c r="AS11" s="239">
        <f t="shared" ref="AS11" si="89">SUM(AS4:AS10)</f>
        <v>5527946.2990594581</v>
      </c>
      <c r="AU11" s="239">
        <f t="shared" ref="AU11" si="90">SUM(AU4:AU10)</f>
        <v>5666144.9565359447</v>
      </c>
      <c r="AW11" s="239">
        <f t="shared" ref="AW11" si="91">SUM(AW4:AW10)</f>
        <v>5807798.5804493427</v>
      </c>
      <c r="AY11" s="239">
        <f t="shared" ref="AY11" si="92">SUM(AY4:AY10)</f>
        <v>5952993.5449605761</v>
      </c>
      <c r="BA11" s="239">
        <f t="shared" ref="BA11" si="93">SUM(BA4:BA10)</f>
        <v>6101818.3835845897</v>
      </c>
      <c r="BC11" s="239">
        <f t="shared" ref="BC11" si="94">SUM(BC4:BC10)</f>
        <v>6254363.8431742042</v>
      </c>
      <c r="BE11" s="239">
        <f t="shared" ref="BE11" si="95">SUM(BE4:BE10)</f>
        <v>6410722.9392535584</v>
      </c>
      <c r="BG11" s="239">
        <f t="shared" ref="BG11" si="96">SUM(BG4:BG10)</f>
        <v>6570991.0127348965</v>
      </c>
      <c r="BI11" s="239">
        <f t="shared" ref="BI11" si="97">SUM(BI4:BI10)</f>
        <v>6735265.7880532686</v>
      </c>
      <c r="BK11" s="239">
        <f t="shared" ref="BK11" si="98">SUM(BK4:BK10)</f>
        <v>6903647.4327546004</v>
      </c>
    </row>
    <row r="12" spans="1:63">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M12" s="230"/>
      <c r="AO12" s="230"/>
      <c r="AQ12" s="230"/>
      <c r="AS12" s="230"/>
      <c r="AU12" s="230"/>
      <c r="AW12" s="230"/>
      <c r="AY12" s="230"/>
      <c r="BA12" s="230"/>
      <c r="BC12" s="230"/>
      <c r="BE12" s="230"/>
      <c r="BG12" s="230"/>
      <c r="BI12" s="230"/>
      <c r="BK12" s="230"/>
    </row>
    <row r="13" spans="1:63"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M13" s="230"/>
      <c r="AO13" s="230"/>
      <c r="AQ13" s="230"/>
      <c r="AS13" s="230"/>
      <c r="AU13" s="230"/>
      <c r="AW13" s="230"/>
      <c r="AY13" s="230"/>
      <c r="BA13" s="230"/>
      <c r="BC13" s="230"/>
      <c r="BE13" s="230"/>
      <c r="BG13" s="230"/>
      <c r="BI13" s="230"/>
      <c r="BK13" s="230"/>
    </row>
    <row r="14" spans="1:63"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M14" s="238"/>
      <c r="AO14" s="238"/>
      <c r="AQ14" s="238"/>
      <c r="AS14" s="238"/>
      <c r="AU14" s="238"/>
      <c r="AW14" s="238"/>
      <c r="AY14" s="238"/>
      <c r="BA14" s="238"/>
      <c r="BC14" s="238"/>
      <c r="BE14" s="238"/>
      <c r="BG14" s="238"/>
      <c r="BI14" s="238"/>
      <c r="BK14" s="238"/>
    </row>
    <row r="15" spans="1:63" s="235" customFormat="1" ht="14.25">
      <c r="A15" s="235" t="s">
        <v>870</v>
      </c>
      <c r="C15" s="185"/>
      <c r="E15" s="235">
        <f>Application!W831</f>
        <v>78400</v>
      </c>
      <c r="G15" s="235">
        <f>E15*$C$14</f>
        <v>81144</v>
      </c>
      <c r="I15" s="235">
        <f>G15*$C$14</f>
        <v>83984.04</v>
      </c>
      <c r="K15" s="235">
        <f>I15*$C$14</f>
        <v>86923.48139999999</v>
      </c>
      <c r="M15" s="235">
        <f>K15*$C$14</f>
        <v>89965.80324899999</v>
      </c>
      <c r="O15" s="235">
        <f>M15*$C$14</f>
        <v>93114.606362714985</v>
      </c>
      <c r="Q15" s="235">
        <f>O15*$C$14</f>
        <v>96373.61758541</v>
      </c>
      <c r="S15" s="235">
        <f>Q15*$C$14</f>
        <v>99746.694200899336</v>
      </c>
      <c r="U15" s="235">
        <f>S15*$C$14</f>
        <v>103237.82849793081</v>
      </c>
      <c r="W15" s="235">
        <f>U15*$C$14</f>
        <v>106851.15249535837</v>
      </c>
      <c r="Y15" s="235">
        <f>W15*$C$14</f>
        <v>110590.9428326959</v>
      </c>
      <c r="AA15" s="235">
        <f>Y15*$C$14</f>
        <v>114461.62583184025</v>
      </c>
      <c r="AC15" s="235">
        <f>AA15*$C$14</f>
        <v>118467.78273595465</v>
      </c>
      <c r="AE15" s="235">
        <f>AC15*$C$14</f>
        <v>122614.15513171305</v>
      </c>
      <c r="AG15" s="235">
        <f>AE15*$C$14</f>
        <v>126905.650561323</v>
      </c>
      <c r="AI15" s="235">
        <f t="shared" ref="AI15:AI21" si="99">AG15*$C$14</f>
        <v>131347.34833096928</v>
      </c>
      <c r="AK15" s="235">
        <f t="shared" ref="AK15:AK21" si="100">AI15*$C$14</f>
        <v>135944.5055225532</v>
      </c>
      <c r="AM15" s="235">
        <f t="shared" ref="AM15:AM21" si="101">AK15*$C$14</f>
        <v>140702.56321584256</v>
      </c>
      <c r="AO15" s="235">
        <f t="shared" ref="AO15:AO21" si="102">AM15*$C$14</f>
        <v>145627.15292839703</v>
      </c>
      <c r="AQ15" s="235">
        <f t="shared" ref="AQ15:AQ21" si="103">AO15*$C$14</f>
        <v>150724.10328089091</v>
      </c>
      <c r="AS15" s="235">
        <f t="shared" ref="AS15:AS21" si="104">AQ15*$C$14</f>
        <v>155999.44689572207</v>
      </c>
      <c r="AU15" s="235">
        <f t="shared" ref="AU15:AU21" si="105">AS15*$C$14</f>
        <v>161459.42753707233</v>
      </c>
      <c r="AW15" s="235">
        <f t="shared" ref="AW15:AW21" si="106">AU15*$C$14</f>
        <v>167110.50750086986</v>
      </c>
      <c r="AY15" s="235">
        <f t="shared" ref="AY15:AY21" si="107">AW15*$C$14</f>
        <v>172959.37526340029</v>
      </c>
      <c r="BA15" s="235">
        <f t="shared" ref="BA15:BA21" si="108">AY15*$C$14</f>
        <v>179012.95339761928</v>
      </c>
      <c r="BC15" s="235">
        <f t="shared" ref="BC15:BC21" si="109">BA15*$C$14</f>
        <v>185278.40676653595</v>
      </c>
      <c r="BE15" s="235">
        <f t="shared" ref="BE15:BE21" si="110">BC15*$C$14</f>
        <v>191763.15100336468</v>
      </c>
      <c r="BG15" s="235">
        <f t="shared" ref="BG15:BG21" si="111">BE15*$C$14</f>
        <v>198474.86128848244</v>
      </c>
      <c r="BI15" s="235">
        <f t="shared" ref="BI15:BI21" si="112">BG15*$C$14</f>
        <v>205421.48143357932</v>
      </c>
      <c r="BK15" s="235">
        <f t="shared" ref="BK15:BK21" si="113">BI15*$C$14</f>
        <v>212611.23328375458</v>
      </c>
    </row>
    <row r="16" spans="1:63" s="225" customFormat="1" ht="14.25">
      <c r="A16" s="225" t="s">
        <v>346</v>
      </c>
      <c r="C16" s="249"/>
      <c r="E16" s="238">
        <f>Application!W833</f>
        <v>109838</v>
      </c>
      <c r="F16" s="238"/>
      <c r="G16" s="238">
        <f t="shared" ref="G16:AG21" si="114">E16*$C$14</f>
        <v>113682.32999999999</v>
      </c>
      <c r="H16" s="238"/>
      <c r="I16" s="238">
        <f t="shared" si="114"/>
        <v>117661.21154999998</v>
      </c>
      <c r="J16" s="238"/>
      <c r="K16" s="238">
        <f t="shared" si="114"/>
        <v>121779.35395424996</v>
      </c>
      <c r="L16" s="238"/>
      <c r="M16" s="238">
        <f t="shared" si="114"/>
        <v>126041.6313426487</v>
      </c>
      <c r="N16" s="238"/>
      <c r="O16" s="238">
        <f t="shared" si="114"/>
        <v>130453.0884396414</v>
      </c>
      <c r="P16" s="238"/>
      <c r="Q16" s="238">
        <f t="shared" si="114"/>
        <v>135018.94653502884</v>
      </c>
      <c r="R16" s="238"/>
      <c r="S16" s="238">
        <f t="shared" si="114"/>
        <v>139744.60966375485</v>
      </c>
      <c r="T16" s="238"/>
      <c r="U16" s="238">
        <f t="shared" si="114"/>
        <v>144635.67100198625</v>
      </c>
      <c r="V16" s="238"/>
      <c r="W16" s="238">
        <f t="shared" si="114"/>
        <v>149697.91948705577</v>
      </c>
      <c r="X16" s="238"/>
      <c r="Y16" s="238">
        <f t="shared" si="114"/>
        <v>154937.3466691027</v>
      </c>
      <c r="Z16" s="238"/>
      <c r="AA16" s="238">
        <f t="shared" si="114"/>
        <v>160360.15380252129</v>
      </c>
      <c r="AB16" s="238"/>
      <c r="AC16" s="238">
        <f t="shared" si="114"/>
        <v>165972.75918560952</v>
      </c>
      <c r="AD16" s="238"/>
      <c r="AE16" s="238">
        <f t="shared" si="114"/>
        <v>171781.80575710585</v>
      </c>
      <c r="AF16" s="238"/>
      <c r="AG16" s="238">
        <f t="shared" si="114"/>
        <v>177794.16895860454</v>
      </c>
      <c r="AH16" s="238"/>
      <c r="AI16" s="238">
        <f t="shared" si="99"/>
        <v>184016.96487215569</v>
      </c>
      <c r="AJ16" s="238"/>
      <c r="AK16" s="238">
        <f t="shared" si="100"/>
        <v>190457.55864268114</v>
      </c>
      <c r="AM16" s="238">
        <f t="shared" si="101"/>
        <v>197123.57319517495</v>
      </c>
      <c r="AO16" s="238">
        <f t="shared" si="102"/>
        <v>204022.89825700605</v>
      </c>
      <c r="AQ16" s="238">
        <f t="shared" si="103"/>
        <v>211163.69969600125</v>
      </c>
      <c r="AS16" s="238">
        <f t="shared" si="104"/>
        <v>218554.42918536128</v>
      </c>
      <c r="AU16" s="238">
        <f t="shared" si="105"/>
        <v>226203.8342068489</v>
      </c>
      <c r="AW16" s="238">
        <f t="shared" si="106"/>
        <v>234120.96840408861</v>
      </c>
      <c r="AY16" s="238">
        <f t="shared" si="107"/>
        <v>242315.20229823168</v>
      </c>
      <c r="BA16" s="238">
        <f t="shared" si="108"/>
        <v>250796.23437866976</v>
      </c>
      <c r="BC16" s="238">
        <f t="shared" si="109"/>
        <v>259574.10258192319</v>
      </c>
      <c r="BE16" s="238">
        <f t="shared" si="110"/>
        <v>268659.19617229048</v>
      </c>
      <c r="BG16" s="238">
        <f t="shared" si="111"/>
        <v>278062.26803832065</v>
      </c>
      <c r="BI16" s="238">
        <f t="shared" si="112"/>
        <v>287794.44741966185</v>
      </c>
      <c r="BK16" s="238">
        <f t="shared" si="113"/>
        <v>297867.25307934999</v>
      </c>
    </row>
    <row r="17" spans="1:63" s="225" customFormat="1" ht="14.25">
      <c r="A17" s="225" t="s">
        <v>571</v>
      </c>
      <c r="C17" s="249"/>
      <c r="E17" s="238">
        <f>Application!W839</f>
        <v>84280</v>
      </c>
      <c r="F17" s="238"/>
      <c r="G17" s="238">
        <f t="shared" si="114"/>
        <v>87229.799999999988</v>
      </c>
      <c r="H17" s="238"/>
      <c r="I17" s="238">
        <f t="shared" si="114"/>
        <v>90282.842999999979</v>
      </c>
      <c r="J17" s="238"/>
      <c r="K17" s="238">
        <f t="shared" si="114"/>
        <v>93442.742504999973</v>
      </c>
      <c r="L17" s="238"/>
      <c r="M17" s="238">
        <f t="shared" si="114"/>
        <v>96713.238492674966</v>
      </c>
      <c r="N17" s="238"/>
      <c r="O17" s="238">
        <f t="shared" si="114"/>
        <v>100098.20183991858</v>
      </c>
      <c r="P17" s="238"/>
      <c r="Q17" s="238">
        <f t="shared" si="114"/>
        <v>103601.63890431573</v>
      </c>
      <c r="R17" s="238"/>
      <c r="S17" s="238">
        <f t="shared" si="114"/>
        <v>107227.69626596676</v>
      </c>
      <c r="T17" s="238"/>
      <c r="U17" s="238">
        <f t="shared" si="114"/>
        <v>110980.6656352756</v>
      </c>
      <c r="V17" s="238"/>
      <c r="W17" s="238">
        <f t="shared" si="114"/>
        <v>114864.98893251023</v>
      </c>
      <c r="X17" s="238"/>
      <c r="Y17" s="238">
        <f t="shared" si="114"/>
        <v>118885.26354514807</v>
      </c>
      <c r="Z17" s="238"/>
      <c r="AA17" s="238">
        <f t="shared" si="114"/>
        <v>123046.24776922824</v>
      </c>
      <c r="AB17" s="238"/>
      <c r="AC17" s="238">
        <f t="shared" si="114"/>
        <v>127352.86644115121</v>
      </c>
      <c r="AD17" s="238"/>
      <c r="AE17" s="238">
        <f t="shared" si="114"/>
        <v>131810.2167665915</v>
      </c>
      <c r="AF17" s="238"/>
      <c r="AG17" s="238">
        <f t="shared" si="114"/>
        <v>136423.57435342218</v>
      </c>
      <c r="AH17" s="238"/>
      <c r="AI17" s="238">
        <f t="shared" si="99"/>
        <v>141198.39945579195</v>
      </c>
      <c r="AJ17" s="238"/>
      <c r="AK17" s="238">
        <f t="shared" si="100"/>
        <v>146140.34343674465</v>
      </c>
      <c r="AM17" s="238">
        <f t="shared" si="101"/>
        <v>151255.2554570307</v>
      </c>
      <c r="AO17" s="238">
        <f t="shared" si="102"/>
        <v>156549.18939802676</v>
      </c>
      <c r="AQ17" s="238">
        <f t="shared" si="103"/>
        <v>162028.41102695768</v>
      </c>
      <c r="AS17" s="238">
        <f t="shared" si="104"/>
        <v>167699.40541290119</v>
      </c>
      <c r="AU17" s="238">
        <f t="shared" si="105"/>
        <v>173568.88460235271</v>
      </c>
      <c r="AW17" s="238">
        <f t="shared" si="106"/>
        <v>179643.79556343504</v>
      </c>
      <c r="AY17" s="238">
        <f t="shared" si="107"/>
        <v>185931.32840815524</v>
      </c>
      <c r="BA17" s="238">
        <f t="shared" si="108"/>
        <v>192438.92490244066</v>
      </c>
      <c r="BC17" s="238">
        <f t="shared" si="109"/>
        <v>199174.28727402608</v>
      </c>
      <c r="BE17" s="238">
        <f t="shared" si="110"/>
        <v>206145.38732861698</v>
      </c>
      <c r="BG17" s="238">
        <f t="shared" si="111"/>
        <v>213360.47588511856</v>
      </c>
      <c r="BI17" s="238">
        <f t="shared" si="112"/>
        <v>220828.09254109769</v>
      </c>
      <c r="BK17" s="238">
        <f t="shared" si="113"/>
        <v>228557.0757800361</v>
      </c>
    </row>
    <row r="18" spans="1:63" s="225" customFormat="1" ht="14.25">
      <c r="A18" s="225" t="s">
        <v>871</v>
      </c>
      <c r="C18" s="249"/>
      <c r="E18" s="238">
        <f>Application!W846</f>
        <v>392000</v>
      </c>
      <c r="F18" s="238"/>
      <c r="G18" s="238">
        <f t="shared" si="114"/>
        <v>405719.99999999994</v>
      </c>
      <c r="H18" s="238"/>
      <c r="I18" s="238">
        <f t="shared" si="114"/>
        <v>419920.1999999999</v>
      </c>
      <c r="J18" s="238"/>
      <c r="K18" s="238">
        <f t="shared" si="114"/>
        <v>434617.40699999983</v>
      </c>
      <c r="L18" s="238"/>
      <c r="M18" s="238">
        <f t="shared" si="114"/>
        <v>449829.01624499977</v>
      </c>
      <c r="N18" s="238"/>
      <c r="O18" s="238">
        <f t="shared" si="114"/>
        <v>465573.03181357472</v>
      </c>
      <c r="P18" s="238"/>
      <c r="Q18" s="238">
        <f t="shared" si="114"/>
        <v>481868.08792704978</v>
      </c>
      <c r="R18" s="238"/>
      <c r="S18" s="238">
        <f t="shared" si="114"/>
        <v>498733.4710044965</v>
      </c>
      <c r="T18" s="238"/>
      <c r="U18" s="238">
        <f t="shared" si="114"/>
        <v>516189.14248965384</v>
      </c>
      <c r="V18" s="238"/>
      <c r="W18" s="238">
        <f t="shared" si="114"/>
        <v>534255.76247679163</v>
      </c>
      <c r="X18" s="238"/>
      <c r="Y18" s="238">
        <f t="shared" si="114"/>
        <v>552954.71416347928</v>
      </c>
      <c r="Z18" s="238"/>
      <c r="AA18" s="238">
        <f t="shared" si="114"/>
        <v>572308.12915920105</v>
      </c>
      <c r="AB18" s="238"/>
      <c r="AC18" s="238">
        <f t="shared" si="114"/>
        <v>592338.91367977299</v>
      </c>
      <c r="AD18" s="238"/>
      <c r="AE18" s="238">
        <f t="shared" si="114"/>
        <v>613070.77565856499</v>
      </c>
      <c r="AF18" s="238"/>
      <c r="AG18" s="238">
        <f t="shared" si="114"/>
        <v>634528.25280661474</v>
      </c>
      <c r="AH18" s="238"/>
      <c r="AI18" s="238">
        <f t="shared" si="99"/>
        <v>656736.74165484624</v>
      </c>
      <c r="AJ18" s="238"/>
      <c r="AK18" s="238">
        <f t="shared" si="100"/>
        <v>679722.52761276579</v>
      </c>
      <c r="AM18" s="238">
        <f t="shared" si="101"/>
        <v>703512.81607921259</v>
      </c>
      <c r="AO18" s="238">
        <f t="shared" si="102"/>
        <v>728135.76464198495</v>
      </c>
      <c r="AQ18" s="238">
        <f t="shared" si="103"/>
        <v>753620.51640445436</v>
      </c>
      <c r="AS18" s="238">
        <f t="shared" si="104"/>
        <v>779997.23447861022</v>
      </c>
      <c r="AU18" s="238">
        <f t="shared" si="105"/>
        <v>807297.13768536155</v>
      </c>
      <c r="AW18" s="238">
        <f t="shared" si="106"/>
        <v>835552.53750434914</v>
      </c>
      <c r="AY18" s="238">
        <f t="shared" si="107"/>
        <v>864796.8763170013</v>
      </c>
      <c r="BA18" s="238">
        <f t="shared" si="108"/>
        <v>895064.76698809629</v>
      </c>
      <c r="BC18" s="238">
        <f t="shared" si="109"/>
        <v>926392.03383267962</v>
      </c>
      <c r="BE18" s="238">
        <f t="shared" si="110"/>
        <v>958815.7550168233</v>
      </c>
      <c r="BG18" s="238">
        <f t="shared" si="111"/>
        <v>992374.30644241208</v>
      </c>
      <c r="BI18" s="238">
        <f t="shared" si="112"/>
        <v>1027107.4071678964</v>
      </c>
      <c r="BK18" s="238">
        <f t="shared" si="113"/>
        <v>1063056.1664187727</v>
      </c>
    </row>
    <row r="19" spans="1:63" s="225" customFormat="1" ht="14.25">
      <c r="A19" s="225" t="s">
        <v>156</v>
      </c>
      <c r="C19" s="249"/>
      <c r="E19" s="238">
        <f>Application!W847</f>
        <v>176400</v>
      </c>
      <c r="F19" s="238"/>
      <c r="G19" s="238">
        <f t="shared" si="114"/>
        <v>182574</v>
      </c>
      <c r="H19" s="238"/>
      <c r="I19" s="238">
        <f t="shared" si="114"/>
        <v>188964.09</v>
      </c>
      <c r="J19" s="238"/>
      <c r="K19" s="238">
        <f t="shared" si="114"/>
        <v>195577.83314999999</v>
      </c>
      <c r="L19" s="238"/>
      <c r="M19" s="238">
        <f t="shared" si="114"/>
        <v>202423.05731024998</v>
      </c>
      <c r="N19" s="238"/>
      <c r="O19" s="238">
        <f t="shared" si="114"/>
        <v>209507.86431610872</v>
      </c>
      <c r="P19" s="238"/>
      <c r="Q19" s="238">
        <f t="shared" si="114"/>
        <v>216840.6395671725</v>
      </c>
      <c r="R19" s="238"/>
      <c r="S19" s="238">
        <f t="shared" si="114"/>
        <v>224430.06195202353</v>
      </c>
      <c r="T19" s="238"/>
      <c r="U19" s="238">
        <f t="shared" si="114"/>
        <v>232285.11412034434</v>
      </c>
      <c r="V19" s="238"/>
      <c r="W19" s="238">
        <f t="shared" si="114"/>
        <v>240415.09311455637</v>
      </c>
      <c r="X19" s="238"/>
      <c r="Y19" s="238">
        <f t="shared" si="114"/>
        <v>248829.62137356581</v>
      </c>
      <c r="Z19" s="238"/>
      <c r="AA19" s="238">
        <f t="shared" si="114"/>
        <v>257538.65812164059</v>
      </c>
      <c r="AB19" s="238"/>
      <c r="AC19" s="238">
        <f t="shared" si="114"/>
        <v>266552.51115589798</v>
      </c>
      <c r="AD19" s="238"/>
      <c r="AE19" s="238">
        <f t="shared" si="114"/>
        <v>275881.84904635441</v>
      </c>
      <c r="AF19" s="238"/>
      <c r="AG19" s="238">
        <f t="shared" si="114"/>
        <v>285537.71376297681</v>
      </c>
      <c r="AH19" s="238"/>
      <c r="AI19" s="238">
        <f t="shared" si="99"/>
        <v>295531.53374468099</v>
      </c>
      <c r="AJ19" s="238"/>
      <c r="AK19" s="238">
        <f t="shared" si="100"/>
        <v>305875.13742574479</v>
      </c>
      <c r="AM19" s="238">
        <f t="shared" si="101"/>
        <v>316580.76723564585</v>
      </c>
      <c r="AO19" s="238">
        <f t="shared" si="102"/>
        <v>327661.09408889344</v>
      </c>
      <c r="AQ19" s="238">
        <f t="shared" si="103"/>
        <v>339129.23238200467</v>
      </c>
      <c r="AS19" s="238">
        <f t="shared" si="104"/>
        <v>350998.75551537483</v>
      </c>
      <c r="AU19" s="238">
        <f t="shared" si="105"/>
        <v>363283.7119584129</v>
      </c>
      <c r="AW19" s="238">
        <f t="shared" si="106"/>
        <v>375998.64187695732</v>
      </c>
      <c r="AY19" s="238">
        <f t="shared" si="107"/>
        <v>389158.59434265079</v>
      </c>
      <c r="BA19" s="238">
        <f t="shared" si="108"/>
        <v>402779.14514464355</v>
      </c>
      <c r="BC19" s="238">
        <f t="shared" si="109"/>
        <v>416876.41522470606</v>
      </c>
      <c r="BE19" s="238">
        <f t="shared" si="110"/>
        <v>431467.08975757071</v>
      </c>
      <c r="BG19" s="238">
        <f t="shared" si="111"/>
        <v>446568.43789908563</v>
      </c>
      <c r="BI19" s="238">
        <f t="shared" si="112"/>
        <v>462198.33322555362</v>
      </c>
      <c r="BK19" s="238">
        <f t="shared" si="113"/>
        <v>478375.27488844795</v>
      </c>
    </row>
    <row r="20" spans="1:63" s="225" customFormat="1" ht="14.25">
      <c r="A20" s="225" t="s">
        <v>392</v>
      </c>
      <c r="C20" s="249"/>
      <c r="E20" s="238">
        <f>Application!W856</f>
        <v>215600</v>
      </c>
      <c r="F20" s="238"/>
      <c r="G20" s="238">
        <f t="shared" si="114"/>
        <v>223145.99999999997</v>
      </c>
      <c r="H20" s="238"/>
      <c r="I20" s="238">
        <f t="shared" si="114"/>
        <v>230956.10999999996</v>
      </c>
      <c r="J20" s="238"/>
      <c r="K20" s="238">
        <f t="shared" si="114"/>
        <v>239039.57384999993</v>
      </c>
      <c r="L20" s="238"/>
      <c r="M20" s="238">
        <f t="shared" si="114"/>
        <v>247405.95893474991</v>
      </c>
      <c r="N20" s="238"/>
      <c r="O20" s="238">
        <f t="shared" si="114"/>
        <v>256065.16749746614</v>
      </c>
      <c r="P20" s="238"/>
      <c r="Q20" s="238">
        <f t="shared" si="114"/>
        <v>265027.44835987745</v>
      </c>
      <c r="R20" s="238"/>
      <c r="S20" s="238">
        <f t="shared" si="114"/>
        <v>274303.40905247314</v>
      </c>
      <c r="T20" s="238"/>
      <c r="U20" s="238">
        <f t="shared" si="114"/>
        <v>283904.02836930967</v>
      </c>
      <c r="V20" s="238"/>
      <c r="W20" s="238">
        <f t="shared" si="114"/>
        <v>293840.66936223547</v>
      </c>
      <c r="X20" s="238"/>
      <c r="Y20" s="238">
        <f t="shared" si="114"/>
        <v>304125.0927899137</v>
      </c>
      <c r="Z20" s="238"/>
      <c r="AA20" s="238">
        <f t="shared" si="114"/>
        <v>314769.47103756067</v>
      </c>
      <c r="AB20" s="238"/>
      <c r="AC20" s="238">
        <f t="shared" si="114"/>
        <v>325786.40252387524</v>
      </c>
      <c r="AD20" s="238"/>
      <c r="AE20" s="238">
        <f t="shared" si="114"/>
        <v>337188.92661221087</v>
      </c>
      <c r="AF20" s="238"/>
      <c r="AG20" s="238">
        <f t="shared" si="114"/>
        <v>348990.53904363821</v>
      </c>
      <c r="AH20" s="238"/>
      <c r="AI20" s="238">
        <f t="shared" si="99"/>
        <v>361205.20791016554</v>
      </c>
      <c r="AJ20" s="238"/>
      <c r="AK20" s="238">
        <f t="shared" si="100"/>
        <v>373847.39018702129</v>
      </c>
      <c r="AM20" s="238">
        <f t="shared" si="101"/>
        <v>386932.04884356703</v>
      </c>
      <c r="AO20" s="238">
        <f t="shared" si="102"/>
        <v>400474.67055309186</v>
      </c>
      <c r="AQ20" s="238">
        <f t="shared" si="103"/>
        <v>414491.28402245004</v>
      </c>
      <c r="AS20" s="238">
        <f t="shared" si="104"/>
        <v>428998.47896323574</v>
      </c>
      <c r="AU20" s="238">
        <f t="shared" si="105"/>
        <v>444013.42572694895</v>
      </c>
      <c r="AW20" s="238">
        <f t="shared" si="106"/>
        <v>459553.89562739211</v>
      </c>
      <c r="AY20" s="238">
        <f t="shared" si="107"/>
        <v>475638.2819743508</v>
      </c>
      <c r="BA20" s="238">
        <f t="shared" si="108"/>
        <v>492285.62184345303</v>
      </c>
      <c r="BC20" s="238">
        <f t="shared" si="109"/>
        <v>509515.61860797385</v>
      </c>
      <c r="BE20" s="238">
        <f t="shared" si="110"/>
        <v>527348.66525925288</v>
      </c>
      <c r="BG20" s="238">
        <f t="shared" si="111"/>
        <v>545805.86854332674</v>
      </c>
      <c r="BI20" s="238">
        <f t="shared" si="112"/>
        <v>564909.07394234312</v>
      </c>
      <c r="BK20" s="238">
        <f t="shared" si="113"/>
        <v>584680.89153032505</v>
      </c>
    </row>
    <row r="21" spans="1:63" s="225" customFormat="1" ht="14.25">
      <c r="A21" s="242" t="s">
        <v>1003</v>
      </c>
      <c r="B21" s="242"/>
      <c r="C21" s="249"/>
      <c r="E21" s="248">
        <f>Application!W863</f>
        <v>0</v>
      </c>
      <c r="F21" s="238"/>
      <c r="G21" s="248">
        <f t="shared" si="114"/>
        <v>0</v>
      </c>
      <c r="H21" s="238"/>
      <c r="I21" s="248">
        <f t="shared" si="114"/>
        <v>0</v>
      </c>
      <c r="J21" s="238"/>
      <c r="K21" s="248">
        <f t="shared" si="114"/>
        <v>0</v>
      </c>
      <c r="L21" s="238"/>
      <c r="M21" s="248">
        <f t="shared" si="114"/>
        <v>0</v>
      </c>
      <c r="N21" s="238"/>
      <c r="O21" s="248">
        <f t="shared" si="114"/>
        <v>0</v>
      </c>
      <c r="P21" s="238"/>
      <c r="Q21" s="248">
        <f t="shared" si="114"/>
        <v>0</v>
      </c>
      <c r="R21" s="238"/>
      <c r="S21" s="248">
        <f t="shared" si="114"/>
        <v>0</v>
      </c>
      <c r="T21" s="238"/>
      <c r="U21" s="248">
        <f t="shared" si="114"/>
        <v>0</v>
      </c>
      <c r="V21" s="238"/>
      <c r="W21" s="248">
        <f t="shared" si="114"/>
        <v>0</v>
      </c>
      <c r="X21" s="238"/>
      <c r="Y21" s="248">
        <f t="shared" si="114"/>
        <v>0</v>
      </c>
      <c r="Z21" s="238"/>
      <c r="AA21" s="248">
        <f t="shared" si="114"/>
        <v>0</v>
      </c>
      <c r="AB21" s="238"/>
      <c r="AC21" s="248">
        <f t="shared" si="114"/>
        <v>0</v>
      </c>
      <c r="AD21" s="238"/>
      <c r="AE21" s="248">
        <f t="shared" si="114"/>
        <v>0</v>
      </c>
      <c r="AF21" s="238"/>
      <c r="AG21" s="248">
        <f t="shared" si="114"/>
        <v>0</v>
      </c>
      <c r="AH21" s="248"/>
      <c r="AI21" s="248">
        <f t="shared" si="99"/>
        <v>0</v>
      </c>
      <c r="AJ21" s="248"/>
      <c r="AK21" s="248">
        <f t="shared" si="100"/>
        <v>0</v>
      </c>
      <c r="AM21" s="248">
        <f t="shared" si="101"/>
        <v>0</v>
      </c>
      <c r="AO21" s="248">
        <f t="shared" si="102"/>
        <v>0</v>
      </c>
      <c r="AQ21" s="248">
        <f t="shared" si="103"/>
        <v>0</v>
      </c>
      <c r="AS21" s="248">
        <f t="shared" si="104"/>
        <v>0</v>
      </c>
      <c r="AU21" s="248">
        <f t="shared" si="105"/>
        <v>0</v>
      </c>
      <c r="AW21" s="248">
        <f t="shared" si="106"/>
        <v>0</v>
      </c>
      <c r="AY21" s="248">
        <f t="shared" si="107"/>
        <v>0</v>
      </c>
      <c r="BA21" s="248">
        <f t="shared" si="108"/>
        <v>0</v>
      </c>
      <c r="BC21" s="248">
        <f t="shared" si="109"/>
        <v>0</v>
      </c>
      <c r="BE21" s="248">
        <f t="shared" si="110"/>
        <v>0</v>
      </c>
      <c r="BG21" s="248">
        <f t="shared" si="111"/>
        <v>0</v>
      </c>
      <c r="BI21" s="248">
        <f t="shared" si="112"/>
        <v>0</v>
      </c>
      <c r="BK21" s="248">
        <f t="shared" si="113"/>
        <v>0</v>
      </c>
    </row>
    <row r="22" spans="1:63" s="239" customFormat="1" ht="15">
      <c r="A22" s="239" t="s">
        <v>872</v>
      </c>
      <c r="C22" s="249"/>
      <c r="E22" s="239">
        <f>SUM(E15:E21)</f>
        <v>1056518</v>
      </c>
      <c r="G22" s="239">
        <f>SUM(G15:G21)</f>
        <v>1093496.1299999999</v>
      </c>
      <c r="I22" s="239">
        <f>SUM(I15:I21)</f>
        <v>1131768.4945499997</v>
      </c>
      <c r="K22" s="239">
        <f>SUM(K15:K21)</f>
        <v>1171380.3918592497</v>
      </c>
      <c r="M22" s="239">
        <f>SUM(M15:M21)</f>
        <v>1212378.7055743232</v>
      </c>
      <c r="O22" s="239">
        <f>SUM(O15:O21)</f>
        <v>1254811.9602694246</v>
      </c>
      <c r="Q22" s="239">
        <f>SUM(Q15:Q21)</f>
        <v>1298730.3788788542</v>
      </c>
      <c r="S22" s="239">
        <f>SUM(S15:S21)</f>
        <v>1344185.9421396139</v>
      </c>
      <c r="U22" s="239">
        <f>SUM(U15:U21)</f>
        <v>1391232.4501145005</v>
      </c>
      <c r="W22" s="239">
        <f>SUM(W15:W21)</f>
        <v>1439925.5858685076</v>
      </c>
      <c r="Y22" s="239">
        <f>SUM(Y15:Y21)</f>
        <v>1490322.9813739054</v>
      </c>
      <c r="AA22" s="239">
        <f>SUM(AA15:AA21)</f>
        <v>1542484.2857219921</v>
      </c>
      <c r="AC22" s="239">
        <f>SUM(AC15:AC21)</f>
        <v>1596471.2357222615</v>
      </c>
      <c r="AE22" s="239">
        <f>SUM(AE15:AE21)</f>
        <v>1652347.7289725407</v>
      </c>
      <c r="AG22" s="239">
        <f>SUM(AG15:AG21)</f>
        <v>1710179.8994865792</v>
      </c>
      <c r="AI22" s="239">
        <f t="shared" ref="AI22" si="115">SUM(AI15:AI21)</f>
        <v>1770036.1959686098</v>
      </c>
      <c r="AK22" s="239">
        <f t="shared" ref="AK22" si="116">SUM(AK15:AK21)</f>
        <v>1831987.4628275111</v>
      </c>
      <c r="AM22" s="239">
        <f t="shared" ref="AM22" si="117">SUM(AM15:AM21)</f>
        <v>1896107.0240264735</v>
      </c>
      <c r="AO22" s="239">
        <f t="shared" ref="AO22" si="118">SUM(AO15:AO21)</f>
        <v>1962470.7698674002</v>
      </c>
      <c r="AQ22" s="239">
        <f t="shared" ref="AQ22" si="119">SUM(AQ15:AQ21)</f>
        <v>2031157.2468127587</v>
      </c>
      <c r="AS22" s="239">
        <f t="shared" ref="AS22" si="120">SUM(AS15:AS21)</f>
        <v>2102247.7504512053</v>
      </c>
      <c r="AU22" s="239">
        <f t="shared" ref="AU22" si="121">SUM(AU15:AU21)</f>
        <v>2175826.4217169974</v>
      </c>
      <c r="AW22" s="239">
        <f t="shared" ref="AW22" si="122">SUM(AW15:AW21)</f>
        <v>2251980.3464770922</v>
      </c>
      <c r="AY22" s="239">
        <f t="shared" ref="AY22" si="123">SUM(AY15:AY21)</f>
        <v>2330799.6586037902</v>
      </c>
      <c r="BA22" s="239">
        <f t="shared" ref="BA22" si="124">SUM(BA15:BA21)</f>
        <v>2412377.6466549225</v>
      </c>
      <c r="BC22" s="239">
        <f t="shared" ref="BC22" si="125">SUM(BC15:BC21)</f>
        <v>2496810.8642878449</v>
      </c>
      <c r="BE22" s="239">
        <f t="shared" ref="BE22" si="126">SUM(BE15:BE21)</f>
        <v>2584199.2445379193</v>
      </c>
      <c r="BG22" s="239">
        <f t="shared" ref="BG22" si="127">SUM(BG15:BG21)</f>
        <v>2674646.2180967461</v>
      </c>
      <c r="BI22" s="239">
        <f t="shared" ref="BI22" si="128">SUM(BI15:BI21)</f>
        <v>2768258.8357301322</v>
      </c>
      <c r="BK22" s="239">
        <f t="shared" ref="BK22" si="129">SUM(BK15:BK21)</f>
        <v>2865147.8949806863</v>
      </c>
    </row>
    <row r="23" spans="1:6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M23" s="238"/>
      <c r="AO23" s="238"/>
      <c r="AQ23" s="238"/>
      <c r="AS23" s="238"/>
      <c r="AU23" s="238"/>
      <c r="AW23" s="238"/>
      <c r="AY23" s="238"/>
      <c r="BA23" s="238"/>
      <c r="BC23" s="238"/>
      <c r="BE23" s="238"/>
      <c r="BG23" s="238"/>
      <c r="BI23" s="238"/>
      <c r="BK23" s="238"/>
    </row>
    <row r="24" spans="1:63" s="225" customFormat="1" ht="14.25">
      <c r="A24" s="225" t="s">
        <v>1943</v>
      </c>
      <c r="C24" s="249"/>
      <c r="E24" s="944"/>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c r="AH24" s="238"/>
      <c r="AI24" s="238">
        <f>AG24*$C$24</f>
        <v>0</v>
      </c>
      <c r="AJ24" s="238"/>
      <c r="AK24" s="238">
        <f>AI24*$C$24</f>
        <v>0</v>
      </c>
      <c r="AM24" s="238">
        <f t="shared" ref="AM24" si="130">AK24*$C$24</f>
        <v>0</v>
      </c>
      <c r="AO24" s="238">
        <f t="shared" ref="AO24" si="131">AM24*$C$24</f>
        <v>0</v>
      </c>
      <c r="AQ24" s="238">
        <f t="shared" ref="AQ24" si="132">AO24*$C$24</f>
        <v>0</v>
      </c>
      <c r="AS24" s="238">
        <f t="shared" ref="AS24" si="133">AQ24*$C$24</f>
        <v>0</v>
      </c>
      <c r="AU24" s="238">
        <f t="shared" ref="AU24" si="134">AS24*$C$24</f>
        <v>0</v>
      </c>
      <c r="AW24" s="238">
        <f t="shared" ref="AW24" si="135">AU24*$C$24</f>
        <v>0</v>
      </c>
      <c r="AY24" s="238">
        <f t="shared" ref="AY24" si="136">AW24*$C$24</f>
        <v>0</v>
      </c>
      <c r="BA24" s="238">
        <f t="shared" ref="BA24" si="137">AY24*$C$24</f>
        <v>0</v>
      </c>
      <c r="BC24" s="238">
        <f t="shared" ref="BC24" si="138">BA24*$C$24</f>
        <v>0</v>
      </c>
      <c r="BE24" s="238">
        <f t="shared" ref="BE24" si="139">BC24*$C$24</f>
        <v>0</v>
      </c>
      <c r="BG24" s="238">
        <f t="shared" ref="BG24" si="140">BE24*$C$24</f>
        <v>0</v>
      </c>
      <c r="BI24" s="238">
        <f t="shared" ref="BI24" si="141">BG24*$C$24</f>
        <v>0</v>
      </c>
      <c r="BK24" s="238">
        <f t="shared" ref="BK24" si="142">BI24*$C$24</f>
        <v>0</v>
      </c>
    </row>
    <row r="25" spans="1:6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M25" s="238"/>
      <c r="AO25" s="238"/>
      <c r="AQ25" s="238"/>
      <c r="AS25" s="238"/>
      <c r="AU25" s="238"/>
      <c r="AW25" s="238"/>
      <c r="AY25" s="238"/>
      <c r="BA25" s="238"/>
      <c r="BC25" s="238"/>
      <c r="BE25" s="238"/>
      <c r="BG25" s="238"/>
      <c r="BI25" s="238"/>
      <c r="BK25" s="238"/>
    </row>
    <row r="26" spans="1:6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c r="AH26" s="238"/>
      <c r="AI26" s="238">
        <f>AG26*$C$26</f>
        <v>0</v>
      </c>
      <c r="AJ26" s="238"/>
      <c r="AK26" s="238">
        <f>AI26*$C$26</f>
        <v>0</v>
      </c>
      <c r="AM26" s="238">
        <f t="shared" ref="AM26" si="143">AK26*$C$26</f>
        <v>0</v>
      </c>
      <c r="AO26" s="238">
        <f t="shared" ref="AO26" si="144">AM26*$C$26</f>
        <v>0</v>
      </c>
      <c r="AQ26" s="238">
        <f t="shared" ref="AQ26" si="145">AO26*$C$26</f>
        <v>0</v>
      </c>
      <c r="AS26" s="238">
        <f t="shared" ref="AS26" si="146">AQ26*$C$26</f>
        <v>0</v>
      </c>
      <c r="AU26" s="238">
        <f t="shared" ref="AU26" si="147">AS26*$C$26</f>
        <v>0</v>
      </c>
      <c r="AW26" s="238">
        <f t="shared" ref="AW26" si="148">AU26*$C$26</f>
        <v>0</v>
      </c>
      <c r="AY26" s="238">
        <f t="shared" ref="AY26" si="149">AW26*$C$26</f>
        <v>0</v>
      </c>
      <c r="BA26" s="238">
        <f t="shared" ref="BA26" si="150">AY26*$C$26</f>
        <v>0</v>
      </c>
      <c r="BC26" s="238">
        <f t="shared" ref="BC26" si="151">BA26*$C$26</f>
        <v>0</v>
      </c>
      <c r="BE26" s="238">
        <f t="shared" ref="BE26" si="152">BC26*$C$26</f>
        <v>0</v>
      </c>
      <c r="BG26" s="238">
        <f t="shared" ref="BG26" si="153">BE26*$C$26</f>
        <v>0</v>
      </c>
      <c r="BI26" s="238">
        <f t="shared" ref="BI26" si="154">BG26*$C$26</f>
        <v>0</v>
      </c>
      <c r="BK26" s="238">
        <f t="shared" ref="BK26" si="155">BI26*$C$26</f>
        <v>0</v>
      </c>
    </row>
    <row r="27" spans="1:63" s="225" customFormat="1" ht="14.25">
      <c r="A27" s="225" t="s">
        <v>874</v>
      </c>
      <c r="C27" s="253">
        <v>1.0349999999999999</v>
      </c>
      <c r="E27" s="238">
        <f>Application!AC872</f>
        <v>33000</v>
      </c>
      <c r="F27" s="238"/>
      <c r="G27" s="238">
        <f>E27*$C$27</f>
        <v>34155</v>
      </c>
      <c r="H27" s="238"/>
      <c r="I27" s="238">
        <f>G27*$C$27</f>
        <v>35350.424999999996</v>
      </c>
      <c r="J27" s="238"/>
      <c r="K27" s="238">
        <f>I27*$C$27</f>
        <v>36587.689874999989</v>
      </c>
      <c r="L27" s="238"/>
      <c r="M27" s="238">
        <f>K27*$C$27</f>
        <v>37868.259020624988</v>
      </c>
      <c r="N27" s="238"/>
      <c r="O27" s="238">
        <f>M27*$C$27</f>
        <v>39193.648086346861</v>
      </c>
      <c r="P27" s="238"/>
      <c r="Q27" s="238">
        <f>O27*$C$27</f>
        <v>40565.425769368994</v>
      </c>
      <c r="R27" s="238"/>
      <c r="S27" s="238">
        <f>Q27*$C$27</f>
        <v>41985.215671296908</v>
      </c>
      <c r="T27" s="238"/>
      <c r="U27" s="238">
        <f>S27*$C$27</f>
        <v>43454.698219792299</v>
      </c>
      <c r="V27" s="238"/>
      <c r="W27" s="238">
        <f>U27*$C$27</f>
        <v>44975.612657485028</v>
      </c>
      <c r="X27" s="238"/>
      <c r="Y27" s="238">
        <f>W27*$C$27</f>
        <v>46549.759100497002</v>
      </c>
      <c r="Z27" s="238"/>
      <c r="AA27" s="238">
        <f>Y27*$C$27</f>
        <v>48179.000669014393</v>
      </c>
      <c r="AB27" s="238"/>
      <c r="AC27" s="238">
        <f>AA27*$C$27</f>
        <v>49865.265692429894</v>
      </c>
      <c r="AD27" s="238"/>
      <c r="AE27" s="238">
        <f>AC27*$C$27</f>
        <v>51610.549991664935</v>
      </c>
      <c r="AF27" s="238"/>
      <c r="AG27" s="238">
        <f>AE27*$C$27</f>
        <v>53416.919241373202</v>
      </c>
      <c r="AH27" s="238"/>
      <c r="AI27" s="238">
        <f>AG27*$C$27</f>
        <v>55286.51141482126</v>
      </c>
      <c r="AJ27" s="238"/>
      <c r="AK27" s="238">
        <f>AI27*$C$27</f>
        <v>57221.53931434</v>
      </c>
      <c r="AM27" s="238">
        <f t="shared" ref="AM27" si="156">AK27*$C$27</f>
        <v>59224.293190341894</v>
      </c>
      <c r="AO27" s="238">
        <f t="shared" ref="AO27" si="157">AM27*$C$27</f>
        <v>61297.143452003853</v>
      </c>
      <c r="AQ27" s="238">
        <f t="shared" ref="AQ27" si="158">AO27*$C$27</f>
        <v>63442.543472823985</v>
      </c>
      <c r="AS27" s="238">
        <f t="shared" ref="AS27" si="159">AQ27*$C$27</f>
        <v>65663.032494372819</v>
      </c>
      <c r="AU27" s="238">
        <f t="shared" ref="AU27" si="160">AS27*$C$27</f>
        <v>67961.238631675864</v>
      </c>
      <c r="AW27" s="238">
        <f t="shared" ref="AW27" si="161">AU27*$C$27</f>
        <v>70339.881983784508</v>
      </c>
      <c r="AY27" s="238">
        <f t="shared" ref="AY27" si="162">AW27*$C$27</f>
        <v>72801.777853216961</v>
      </c>
      <c r="BA27" s="238">
        <f t="shared" ref="BA27" si="163">AY27*$C$27</f>
        <v>75349.840078079549</v>
      </c>
      <c r="BC27" s="238">
        <f t="shared" ref="BC27" si="164">BA27*$C$27</f>
        <v>77987.084480812322</v>
      </c>
      <c r="BE27" s="238">
        <f t="shared" ref="BE27" si="165">BC27*$C$27</f>
        <v>80716.632437640743</v>
      </c>
      <c r="BG27" s="238">
        <f t="shared" ref="BG27" si="166">BE27*$C$27</f>
        <v>83541.714572958168</v>
      </c>
      <c r="BI27" s="238">
        <f t="shared" ref="BI27" si="167">BG27*$C$27</f>
        <v>86465.6745830117</v>
      </c>
      <c r="BK27" s="238">
        <f t="shared" ref="BK27" si="168">BI27*$C$27</f>
        <v>89491.9731934171</v>
      </c>
    </row>
    <row r="28" spans="1:63" s="225" customFormat="1" ht="14.25">
      <c r="A28" s="225" t="s">
        <v>875</v>
      </c>
      <c r="C28" s="253"/>
      <c r="E28" s="238">
        <f>Application!AC873</f>
        <v>49000</v>
      </c>
      <c r="F28" s="238"/>
      <c r="G28" s="238">
        <f>$E$28</f>
        <v>49000</v>
      </c>
      <c r="H28" s="238"/>
      <c r="I28" s="238">
        <f>$E$28</f>
        <v>49000</v>
      </c>
      <c r="J28" s="238"/>
      <c r="K28" s="238">
        <f>$E$28</f>
        <v>49000</v>
      </c>
      <c r="L28" s="238"/>
      <c r="M28" s="238">
        <f>$E$28</f>
        <v>49000</v>
      </c>
      <c r="N28" s="238"/>
      <c r="O28" s="238">
        <f>$E$28</f>
        <v>49000</v>
      </c>
      <c r="P28" s="238"/>
      <c r="Q28" s="238">
        <f>$E$28</f>
        <v>49000</v>
      </c>
      <c r="R28" s="238"/>
      <c r="S28" s="238">
        <f>$E$28</f>
        <v>49000</v>
      </c>
      <c r="T28" s="238"/>
      <c r="U28" s="238">
        <f>$E$28</f>
        <v>49000</v>
      </c>
      <c r="V28" s="238"/>
      <c r="W28" s="238">
        <f>$E$28</f>
        <v>49000</v>
      </c>
      <c r="X28" s="238"/>
      <c r="Y28" s="238">
        <f>$E$28</f>
        <v>49000</v>
      </c>
      <c r="Z28" s="238"/>
      <c r="AA28" s="238">
        <f>$E$28</f>
        <v>49000</v>
      </c>
      <c r="AB28" s="238"/>
      <c r="AC28" s="238">
        <f>$E$28</f>
        <v>49000</v>
      </c>
      <c r="AD28" s="238"/>
      <c r="AE28" s="238">
        <f>$E$28</f>
        <v>49000</v>
      </c>
      <c r="AF28" s="238"/>
      <c r="AG28" s="238">
        <f>$E$28</f>
        <v>49000</v>
      </c>
      <c r="AH28" s="238"/>
      <c r="AI28" s="238">
        <f t="shared" ref="AI28:AK28" si="169">$E$28</f>
        <v>49000</v>
      </c>
      <c r="AJ28" s="238"/>
      <c r="AK28" s="238">
        <f t="shared" si="169"/>
        <v>49000</v>
      </c>
      <c r="AM28" s="238">
        <f t="shared" ref="AM28" si="170">$E$28</f>
        <v>49000</v>
      </c>
      <c r="AO28" s="238">
        <f t="shared" ref="AO28" si="171">$E$28</f>
        <v>49000</v>
      </c>
      <c r="AQ28" s="238">
        <f t="shared" ref="AQ28" si="172">$E$28</f>
        <v>49000</v>
      </c>
      <c r="AS28" s="238">
        <f t="shared" ref="AS28" si="173">$E$28</f>
        <v>49000</v>
      </c>
      <c r="AU28" s="238">
        <f t="shared" ref="AU28" si="174">$E$28</f>
        <v>49000</v>
      </c>
      <c r="AW28" s="238">
        <f t="shared" ref="AW28" si="175">$E$28</f>
        <v>49000</v>
      </c>
      <c r="AY28" s="238">
        <f t="shared" ref="AY28" si="176">$E$28</f>
        <v>49000</v>
      </c>
      <c r="BA28" s="238">
        <f t="shared" ref="BA28" si="177">$E$28</f>
        <v>49000</v>
      </c>
      <c r="BC28" s="238">
        <f t="shared" ref="BC28" si="178">$E$28</f>
        <v>49000</v>
      </c>
      <c r="BE28" s="238">
        <f t="shared" ref="BE28" si="179">$E$28</f>
        <v>49000</v>
      </c>
      <c r="BG28" s="238">
        <f t="shared" ref="BG28" si="180">$E$28</f>
        <v>49000</v>
      </c>
      <c r="BI28" s="238">
        <f t="shared" ref="BI28" si="181">$E$28</f>
        <v>49000</v>
      </c>
      <c r="BK28" s="238">
        <f t="shared" ref="BK28" si="182">$E$28</f>
        <v>49000</v>
      </c>
    </row>
    <row r="29" spans="1:63" s="225" customFormat="1" ht="14.25">
      <c r="A29" s="225" t="s">
        <v>1941</v>
      </c>
      <c r="C29" s="253"/>
      <c r="E29" s="238">
        <f>Application!AC874</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c r="AH29" s="238"/>
      <c r="AI29" s="238">
        <f t="shared" ref="AI29:AK29" si="183">$E$29</f>
        <v>7500</v>
      </c>
      <c r="AJ29" s="238"/>
      <c r="AK29" s="238">
        <f t="shared" si="183"/>
        <v>7500</v>
      </c>
      <c r="AM29" s="238">
        <f t="shared" ref="AM29" si="184">$E$29</f>
        <v>7500</v>
      </c>
      <c r="AO29" s="238">
        <f t="shared" ref="AO29" si="185">$E$29</f>
        <v>7500</v>
      </c>
      <c r="AQ29" s="238">
        <f t="shared" ref="AQ29" si="186">$E$29</f>
        <v>7500</v>
      </c>
      <c r="AS29" s="238">
        <f t="shared" ref="AS29" si="187">$E$29</f>
        <v>7500</v>
      </c>
      <c r="AU29" s="238">
        <f t="shared" ref="AU29" si="188">$E$29</f>
        <v>7500</v>
      </c>
      <c r="AW29" s="238">
        <f t="shared" ref="AW29" si="189">$E$29</f>
        <v>7500</v>
      </c>
      <c r="AY29" s="238">
        <f t="shared" ref="AY29" si="190">$E$29</f>
        <v>7500</v>
      </c>
      <c r="BA29" s="238">
        <f t="shared" ref="BA29" si="191">$E$29</f>
        <v>7500</v>
      </c>
      <c r="BC29" s="238">
        <f t="shared" ref="BC29" si="192">$E$29</f>
        <v>7500</v>
      </c>
      <c r="BE29" s="238">
        <f t="shared" ref="BE29" si="193">$E$29</f>
        <v>7500</v>
      </c>
      <c r="BG29" s="238">
        <f t="shared" ref="BG29" si="194">$E$29</f>
        <v>7500</v>
      </c>
      <c r="BI29" s="238">
        <f t="shared" ref="BI29" si="195">$E$29</f>
        <v>7500</v>
      </c>
      <c r="BK29" s="238">
        <f t="shared" ref="BK29" si="196">$E$29</f>
        <v>7500</v>
      </c>
    </row>
    <row r="30" spans="1:63" s="225" customFormat="1" ht="14.2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c r="AH30" s="238"/>
      <c r="AI30" s="238">
        <f>AG30*$C$30</f>
        <v>0</v>
      </c>
      <c r="AJ30" s="238"/>
      <c r="AK30" s="238">
        <f>AI30*$C$30</f>
        <v>0</v>
      </c>
      <c r="AM30" s="238">
        <f t="shared" ref="AM30" si="197">AK30*$C$30</f>
        <v>0</v>
      </c>
      <c r="AO30" s="238">
        <f t="shared" ref="AO30" si="198">AM30*$C$30</f>
        <v>0</v>
      </c>
      <c r="AQ30" s="238">
        <f t="shared" ref="AQ30" si="199">AO30*$C$30</f>
        <v>0</v>
      </c>
      <c r="AS30" s="238">
        <f t="shared" ref="AS30" si="200">AQ30*$C$30</f>
        <v>0</v>
      </c>
      <c r="AU30" s="238">
        <f t="shared" ref="AU30" si="201">AS30*$C$30</f>
        <v>0</v>
      </c>
      <c r="AW30" s="238">
        <f t="shared" ref="AW30" si="202">AU30*$C$30</f>
        <v>0</v>
      </c>
      <c r="AY30" s="238">
        <f t="shared" ref="AY30" si="203">AW30*$C$30</f>
        <v>0</v>
      </c>
      <c r="BA30" s="238">
        <f t="shared" ref="BA30" si="204">AY30*$C$30</f>
        <v>0</v>
      </c>
      <c r="BC30" s="238">
        <f t="shared" ref="BC30" si="205">BA30*$C$30</f>
        <v>0</v>
      </c>
      <c r="BE30" s="238">
        <f t="shared" ref="BE30" si="206">BC30*$C$30</f>
        <v>0</v>
      </c>
      <c r="BG30" s="238">
        <f t="shared" ref="BG30" si="207">BE30*$C$30</f>
        <v>0</v>
      </c>
      <c r="BI30" s="238">
        <f t="shared" ref="BI30" si="208">BG30*$C$30</f>
        <v>0</v>
      </c>
      <c r="BK30" s="238">
        <f t="shared" ref="BK30" si="209">BI30*$C$30</f>
        <v>0</v>
      </c>
    </row>
    <row r="31" spans="1:6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c r="AH31" s="238"/>
      <c r="AI31" s="238">
        <f>AG31*$C$31</f>
        <v>0</v>
      </c>
      <c r="AJ31" s="238"/>
      <c r="AK31" s="238">
        <f>AI31*$C$31</f>
        <v>0</v>
      </c>
      <c r="AM31" s="238">
        <f t="shared" ref="AM31" si="210">AK31*$C$31</f>
        <v>0</v>
      </c>
      <c r="AO31" s="238">
        <f t="shared" ref="AO31" si="211">AM31*$C$31</f>
        <v>0</v>
      </c>
      <c r="AQ31" s="238">
        <f t="shared" ref="AQ31" si="212">AO31*$C$31</f>
        <v>0</v>
      </c>
      <c r="AS31" s="238">
        <f t="shared" ref="AS31" si="213">AQ31*$C$31</f>
        <v>0</v>
      </c>
      <c r="AU31" s="238">
        <f t="shared" ref="AU31" si="214">AS31*$C$31</f>
        <v>0</v>
      </c>
      <c r="AW31" s="238">
        <f t="shared" ref="AW31" si="215">AU31*$C$31</f>
        <v>0</v>
      </c>
      <c r="AY31" s="238">
        <f t="shared" ref="AY31" si="216">AW31*$C$31</f>
        <v>0</v>
      </c>
      <c r="BA31" s="238">
        <f t="shared" ref="BA31" si="217">AY31*$C$31</f>
        <v>0</v>
      </c>
      <c r="BC31" s="238">
        <f t="shared" ref="BC31" si="218">BA31*$C$31</f>
        <v>0</v>
      </c>
      <c r="BE31" s="238">
        <f t="shared" ref="BE31" si="219">BC31*$C$31</f>
        <v>0</v>
      </c>
      <c r="BG31" s="238">
        <f t="shared" ref="BG31" si="220">BE31*$C$31</f>
        <v>0</v>
      </c>
      <c r="BI31" s="238">
        <f t="shared" ref="BI31" si="221">BG31*$C$31</f>
        <v>0</v>
      </c>
      <c r="BK31" s="238">
        <f t="shared" ref="BK31" si="222">BI31*$C$31</f>
        <v>0</v>
      </c>
    </row>
    <row r="32" spans="1:6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c r="AH32" s="238"/>
      <c r="AI32" s="238">
        <f>AG32*$C$32</f>
        <v>0</v>
      </c>
      <c r="AJ32" s="238"/>
      <c r="AK32" s="238">
        <f>AI32*$C$32</f>
        <v>0</v>
      </c>
      <c r="AM32" s="238">
        <f t="shared" ref="AM32" si="223">AK32*$C$32</f>
        <v>0</v>
      </c>
      <c r="AO32" s="238">
        <f t="shared" ref="AO32" si="224">AM32*$C$32</f>
        <v>0</v>
      </c>
      <c r="AQ32" s="238">
        <f t="shared" ref="AQ32" si="225">AO32*$C$32</f>
        <v>0</v>
      </c>
      <c r="AS32" s="238">
        <f t="shared" ref="AS32" si="226">AQ32*$C$32</f>
        <v>0</v>
      </c>
      <c r="AU32" s="238">
        <f t="shared" ref="AU32" si="227">AS32*$C$32</f>
        <v>0</v>
      </c>
      <c r="AW32" s="238">
        <f t="shared" ref="AW32" si="228">AU32*$C$32</f>
        <v>0</v>
      </c>
      <c r="AY32" s="238">
        <f t="shared" ref="AY32" si="229">AW32*$C$32</f>
        <v>0</v>
      </c>
      <c r="BA32" s="238">
        <f t="shared" ref="BA32" si="230">AY32*$C$32</f>
        <v>0</v>
      </c>
      <c r="BC32" s="238">
        <f t="shared" ref="BC32" si="231">BA32*$C$32</f>
        <v>0</v>
      </c>
      <c r="BE32" s="238">
        <f t="shared" ref="BE32" si="232">BC32*$C$32</f>
        <v>0</v>
      </c>
      <c r="BG32" s="238">
        <f t="shared" ref="BG32" si="233">BE32*$C$32</f>
        <v>0</v>
      </c>
      <c r="BI32" s="238">
        <f t="shared" ref="BI32" si="234">BG32*$C$32</f>
        <v>0</v>
      </c>
      <c r="BK32" s="238">
        <f t="shared" ref="BK32" si="235">BI32*$C$32</f>
        <v>0</v>
      </c>
    </row>
    <row r="33" spans="1:6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c r="AH33" s="238"/>
      <c r="AI33" s="238">
        <f>AG33*$C$33</f>
        <v>0</v>
      </c>
      <c r="AJ33" s="238"/>
      <c r="AK33" s="238">
        <f>AI33*$C$33</f>
        <v>0</v>
      </c>
      <c r="AM33" s="238">
        <f t="shared" ref="AM33" si="236">AK33*$C$33</f>
        <v>0</v>
      </c>
      <c r="AO33" s="238">
        <f t="shared" ref="AO33" si="237">AM33*$C$33</f>
        <v>0</v>
      </c>
      <c r="AQ33" s="238">
        <f t="shared" ref="AQ33" si="238">AO33*$C$33</f>
        <v>0</v>
      </c>
      <c r="AS33" s="238">
        <f t="shared" ref="AS33" si="239">AQ33*$C$33</f>
        <v>0</v>
      </c>
      <c r="AU33" s="238">
        <f t="shared" ref="AU33" si="240">AS33*$C$33</f>
        <v>0</v>
      </c>
      <c r="AW33" s="238">
        <f t="shared" ref="AW33" si="241">AU33*$C$33</f>
        <v>0</v>
      </c>
      <c r="AY33" s="238">
        <f t="shared" ref="AY33" si="242">AW33*$C$33</f>
        <v>0</v>
      </c>
      <c r="BA33" s="238">
        <f t="shared" ref="BA33" si="243">AY33*$C$33</f>
        <v>0</v>
      </c>
      <c r="BC33" s="238">
        <f t="shared" ref="BC33" si="244">BA33*$C$33</f>
        <v>0</v>
      </c>
      <c r="BE33" s="238">
        <f t="shared" ref="BE33" si="245">BC33*$C$33</f>
        <v>0</v>
      </c>
      <c r="BG33" s="238">
        <f t="shared" ref="BG33" si="246">BE33*$C$33</f>
        <v>0</v>
      </c>
      <c r="BI33" s="238">
        <f t="shared" ref="BI33" si="247">BG33*$C$33</f>
        <v>0</v>
      </c>
      <c r="BK33" s="238">
        <f t="shared" ref="BK33" si="248">BI33*$C$33</f>
        <v>0</v>
      </c>
    </row>
    <row r="34" spans="1:6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M34" s="238"/>
      <c r="AO34" s="238"/>
      <c r="AQ34" s="238"/>
      <c r="AS34" s="238"/>
      <c r="AU34" s="238"/>
      <c r="AW34" s="238"/>
      <c r="AY34" s="238"/>
      <c r="BA34" s="238"/>
      <c r="BC34" s="238"/>
      <c r="BE34" s="238"/>
      <c r="BG34" s="238"/>
      <c r="BI34" s="238"/>
      <c r="BK34" s="238"/>
    </row>
    <row r="35" spans="1:63" s="239" customFormat="1" ht="15">
      <c r="A35" s="239" t="s">
        <v>179</v>
      </c>
      <c r="C35" s="240"/>
      <c r="E35" s="239">
        <f>SUM(E22:E33)</f>
        <v>1146018</v>
      </c>
      <c r="G35" s="239">
        <f>SUM(G22:G33)</f>
        <v>1184151.1299999999</v>
      </c>
      <c r="I35" s="239">
        <f>SUM(I22:I33)</f>
        <v>1223618.9195499998</v>
      </c>
      <c r="K35" s="239">
        <f>SUM(K22:K33)</f>
        <v>1264468.0817342496</v>
      </c>
      <c r="M35" s="239">
        <f>SUM(M22:M33)</f>
        <v>1306746.9645949481</v>
      </c>
      <c r="O35" s="239">
        <f>SUM(O22:O33)</f>
        <v>1350505.6083557715</v>
      </c>
      <c r="Q35" s="239">
        <f>SUM(Q22:Q33)</f>
        <v>1395795.8046482231</v>
      </c>
      <c r="S35" s="239">
        <f>SUM(S22:S33)</f>
        <v>1442671.1578109108</v>
      </c>
      <c r="U35" s="239">
        <f>SUM(U22:U33)</f>
        <v>1491187.1483342927</v>
      </c>
      <c r="W35" s="239">
        <f>SUM(W22:W33)</f>
        <v>1541401.1985259927</v>
      </c>
      <c r="Y35" s="239">
        <f>SUM(Y22:Y33)</f>
        <v>1593372.7404744024</v>
      </c>
      <c r="AA35" s="239">
        <f>SUM(AA22:AA33)</f>
        <v>1647163.2863910065</v>
      </c>
      <c r="AC35" s="239">
        <f>SUM(AC22:AC33)</f>
        <v>1702836.5014146913</v>
      </c>
      <c r="AE35" s="239">
        <f>SUM(AE22:AE33)</f>
        <v>1760458.2789642056</v>
      </c>
      <c r="AG35" s="239">
        <f>SUM(AG22:AG33)</f>
        <v>1820096.8187279524</v>
      </c>
      <c r="AI35" s="239">
        <f t="shared" ref="AI35:AK35" si="249">SUM(AI22:AI33)</f>
        <v>1881822.707383431</v>
      </c>
      <c r="AK35" s="239">
        <f t="shared" si="249"/>
        <v>1945709.0021418512</v>
      </c>
      <c r="AM35" s="239">
        <f t="shared" ref="AM35" si="250">SUM(AM22:AM33)</f>
        <v>2011831.3172168154</v>
      </c>
      <c r="AO35" s="239">
        <f t="shared" ref="AO35" si="251">SUM(AO22:AO33)</f>
        <v>2080267.913319404</v>
      </c>
      <c r="AQ35" s="239">
        <f t="shared" ref="AQ35" si="252">SUM(AQ22:AQ33)</f>
        <v>2151099.7902855827</v>
      </c>
      <c r="AS35" s="239">
        <f t="shared" ref="AS35" si="253">SUM(AS22:AS33)</f>
        <v>2224410.782945578</v>
      </c>
      <c r="AU35" s="239">
        <f t="shared" ref="AU35" si="254">SUM(AU22:AU33)</f>
        <v>2300287.6603486734</v>
      </c>
      <c r="AW35" s="239">
        <f t="shared" ref="AW35" si="255">SUM(AW22:AW33)</f>
        <v>2378820.2284608767</v>
      </c>
      <c r="AY35" s="239">
        <f t="shared" ref="AY35" si="256">SUM(AY22:AY33)</f>
        <v>2460101.4364570072</v>
      </c>
      <c r="BA35" s="239">
        <f t="shared" ref="BA35" si="257">SUM(BA22:BA33)</f>
        <v>2544227.4867330021</v>
      </c>
      <c r="BC35" s="239">
        <f t="shared" ref="BC35" si="258">SUM(BC22:BC33)</f>
        <v>2631297.9487686572</v>
      </c>
      <c r="BE35" s="239">
        <f t="shared" ref="BE35" si="259">SUM(BE22:BE33)</f>
        <v>2721415.8769755601</v>
      </c>
      <c r="BG35" s="239">
        <f t="shared" ref="BG35" si="260">SUM(BG22:BG33)</f>
        <v>2814687.9326697043</v>
      </c>
      <c r="BI35" s="239">
        <f t="shared" ref="BI35" si="261">SUM(BI22:BI33)</f>
        <v>2911224.510313144</v>
      </c>
      <c r="BK35" s="239">
        <f t="shared" ref="BK35" si="262">SUM(BK22:BK33)</f>
        <v>3011139.8681741036</v>
      </c>
    </row>
    <row r="36" spans="1:6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M36" s="238"/>
      <c r="AO36" s="238"/>
      <c r="AQ36" s="238"/>
      <c r="AS36" s="238"/>
      <c r="AU36" s="238"/>
      <c r="AW36" s="238"/>
      <c r="AY36" s="238"/>
      <c r="BA36" s="238"/>
      <c r="BC36" s="238"/>
      <c r="BE36" s="238"/>
      <c r="BG36" s="238"/>
      <c r="BI36" s="238"/>
      <c r="BK36" s="238"/>
    </row>
    <row r="37" spans="1:63" s="239" customFormat="1" ht="15">
      <c r="A37" s="239" t="s">
        <v>876</v>
      </c>
      <c r="C37" s="240"/>
      <c r="E37" s="239">
        <f>E11-E35</f>
        <v>2227527</v>
      </c>
      <c r="G37" s="239">
        <f>G11-G35</f>
        <v>2273732.4949999996</v>
      </c>
      <c r="I37" s="239">
        <f>I11-I35</f>
        <v>2320711.7960749995</v>
      </c>
      <c r="K37" s="239">
        <f>K11-K35</f>
        <v>2368470.9017813746</v>
      </c>
      <c r="M37" s="239">
        <f>M11-M35</f>
        <v>2417015.4935085662</v>
      </c>
      <c r="O37" s="239">
        <f>O11-O35</f>
        <v>2466350.9112003306</v>
      </c>
      <c r="Q37" s="239">
        <f>Q11-Q35</f>
        <v>2516482.1278967811</v>
      </c>
      <c r="S37" s="239">
        <f>S11-S35</f>
        <v>2567413.7230477175</v>
      </c>
      <c r="U37" s="239">
        <f>U11-U35</f>
        <v>2619149.8545458014</v>
      </c>
      <c r="W37" s="239">
        <f>W11-W35</f>
        <v>2671694.2294261022</v>
      </c>
      <c r="Y37" s="239">
        <f>Y11-Y35</f>
        <v>2725050.0731764953</v>
      </c>
      <c r="AA37" s="239">
        <f>AA11-AA35</f>
        <v>2779220.0976011632</v>
      </c>
      <c r="AC37" s="239">
        <f>AC11-AC35</f>
        <v>2834206.467177283</v>
      </c>
      <c r="AE37" s="239">
        <f>AE11-AE35</f>
        <v>2890010.7638425669</v>
      </c>
      <c r="AG37" s="239">
        <f>AG11-AG35</f>
        <v>2946633.9501489885</v>
      </c>
      <c r="AI37" s="239">
        <f t="shared" ref="AI37:AK37" si="263">AI11-AI35</f>
        <v>3004076.3307154342</v>
      </c>
      <c r="AK37" s="239">
        <f t="shared" si="263"/>
        <v>3062337.5119094858</v>
      </c>
      <c r="AM37" s="239">
        <f t="shared" ref="AM37" si="264">AM11-AM35</f>
        <v>3121416.3596858038</v>
      </c>
      <c r="AO37" s="239">
        <f t="shared" ref="AO37" si="265">AO11-AO35</f>
        <v>3181310.955505779</v>
      </c>
      <c r="AQ37" s="239">
        <f t="shared" ref="AQ37" si="266">AQ11-AQ35</f>
        <v>3242018.5502602309</v>
      </c>
      <c r="AS37" s="239">
        <f t="shared" ref="AS37" si="267">AS11-AS35</f>
        <v>3303535.5161138801</v>
      </c>
      <c r="AU37" s="239">
        <f t="shared" ref="AU37" si="268">AU11-AU35</f>
        <v>3365857.2961872714</v>
      </c>
      <c r="AW37" s="239">
        <f t="shared" ref="AW37" si="269">AW11-AW35</f>
        <v>3428978.351988466</v>
      </c>
      <c r="AY37" s="239">
        <f t="shared" ref="AY37" si="270">AY11-AY35</f>
        <v>3492892.1085035689</v>
      </c>
      <c r="BA37" s="239">
        <f t="shared" ref="BA37" si="271">BA11-BA35</f>
        <v>3557590.8968515876</v>
      </c>
      <c r="BC37" s="239">
        <f t="shared" ref="BC37" si="272">BC11-BC35</f>
        <v>3623065.8944055471</v>
      </c>
      <c r="BE37" s="239">
        <f t="shared" ref="BE37" si="273">BE11-BE35</f>
        <v>3689307.0622779983</v>
      </c>
      <c r="BG37" s="239">
        <f t="shared" ref="BG37" si="274">BG11-BG35</f>
        <v>3756303.0800651922</v>
      </c>
      <c r="BI37" s="239">
        <f t="shared" ref="BI37" si="275">BI11-BI35</f>
        <v>3824041.2777401246</v>
      </c>
      <c r="BK37" s="239">
        <f t="shared" ref="BK37" si="276">BK11-BK35</f>
        <v>3892507.5645804969</v>
      </c>
    </row>
    <row r="38" spans="1:6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M38" s="238"/>
      <c r="AO38" s="238"/>
      <c r="AQ38" s="238"/>
      <c r="AS38" s="238"/>
      <c r="AU38" s="238"/>
      <c r="AW38" s="238"/>
      <c r="AY38" s="238"/>
      <c r="BA38" s="238"/>
      <c r="BC38" s="238"/>
      <c r="BE38" s="238"/>
      <c r="BG38" s="238"/>
      <c r="BI38" s="238"/>
      <c r="BK38" s="238"/>
    </row>
    <row r="39" spans="1:6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c r="AM39" s="238"/>
      <c r="AO39" s="238"/>
      <c r="AQ39" s="238"/>
      <c r="AS39" s="238"/>
      <c r="AU39" s="238"/>
      <c r="AW39" s="238"/>
      <c r="AY39" s="238"/>
      <c r="BA39" s="238"/>
      <c r="BC39" s="238"/>
      <c r="BE39" s="238"/>
      <c r="BG39" s="238"/>
      <c r="BI39" s="238"/>
      <c r="BK39" s="238"/>
    </row>
    <row r="40" spans="1:63" s="225" customFormat="1" ht="14.25">
      <c r="A40" s="241" t="str">
        <f>Application!C623</f>
        <v>Tax-Exempt Bonds</v>
      </c>
      <c r="B40" s="242"/>
      <c r="C40" s="236"/>
      <c r="E40" s="238">
        <f>Application!AF623</f>
        <v>1927075</v>
      </c>
      <c r="F40" s="238"/>
      <c r="G40" s="238">
        <f>$E$40</f>
        <v>1927075</v>
      </c>
      <c r="H40" s="238"/>
      <c r="I40" s="238">
        <f>$E$40</f>
        <v>1927075</v>
      </c>
      <c r="J40" s="238"/>
      <c r="K40" s="238">
        <f>$E$40</f>
        <v>1927075</v>
      </c>
      <c r="L40" s="238"/>
      <c r="M40" s="238">
        <f>$E$40</f>
        <v>1927075</v>
      </c>
      <c r="N40" s="238"/>
      <c r="O40" s="238">
        <f>$E$40</f>
        <v>1927075</v>
      </c>
      <c r="P40" s="238"/>
      <c r="Q40" s="238">
        <f>$E$40</f>
        <v>1927075</v>
      </c>
      <c r="R40" s="238"/>
      <c r="S40" s="238">
        <f>$E$40</f>
        <v>1927075</v>
      </c>
      <c r="T40" s="238"/>
      <c r="U40" s="238">
        <f>$E$40</f>
        <v>1927075</v>
      </c>
      <c r="V40" s="238"/>
      <c r="W40" s="238">
        <f>$E$40</f>
        <v>1927075</v>
      </c>
      <c r="X40" s="238"/>
      <c r="Y40" s="238">
        <f>$E$40</f>
        <v>1927075</v>
      </c>
      <c r="Z40" s="238"/>
      <c r="AA40" s="238">
        <f>$E$40</f>
        <v>1927075</v>
      </c>
      <c r="AB40" s="238"/>
      <c r="AC40" s="238">
        <f>$E$40</f>
        <v>1927075</v>
      </c>
      <c r="AD40" s="238"/>
      <c r="AE40" s="238">
        <f>$E$40</f>
        <v>1927075</v>
      </c>
      <c r="AF40" s="238"/>
      <c r="AG40" s="238">
        <f>$E$40</f>
        <v>1927075</v>
      </c>
      <c r="AH40" s="238"/>
      <c r="AI40" s="238">
        <f t="shared" ref="AI40:AK40" si="277">$E$40</f>
        <v>1927075</v>
      </c>
      <c r="AJ40" s="238"/>
      <c r="AK40" s="238">
        <f t="shared" si="277"/>
        <v>1927075</v>
      </c>
      <c r="AM40" s="238">
        <f t="shared" ref="AM40" si="278">$E$40</f>
        <v>1927075</v>
      </c>
      <c r="AO40" s="238">
        <f t="shared" ref="AO40" si="279">$E$40</f>
        <v>1927075</v>
      </c>
      <c r="AQ40" s="238">
        <f t="shared" ref="AQ40" si="280">$E$40</f>
        <v>1927075</v>
      </c>
      <c r="AS40" s="238">
        <f t="shared" ref="AS40" si="281">$E$40</f>
        <v>1927075</v>
      </c>
      <c r="AU40" s="238">
        <f t="shared" ref="AU40" si="282">$E$40</f>
        <v>1927075</v>
      </c>
      <c r="AW40" s="238">
        <f t="shared" ref="AW40" si="283">$E$40</f>
        <v>1927075</v>
      </c>
      <c r="AY40" s="238">
        <f t="shared" ref="AY40" si="284">$E$40</f>
        <v>1927075</v>
      </c>
      <c r="BA40" s="238">
        <f t="shared" ref="BA40" si="285">$E$40</f>
        <v>1927075</v>
      </c>
      <c r="BC40" s="238">
        <f t="shared" ref="BC40" si="286">$E$40</f>
        <v>1927075</v>
      </c>
      <c r="BE40" s="238">
        <f t="shared" ref="BE40" si="287">$E$40</f>
        <v>1927075</v>
      </c>
      <c r="BG40" s="238">
        <f t="shared" ref="BG40" si="288">$E$40</f>
        <v>1927075</v>
      </c>
      <c r="BI40" s="238">
        <f t="shared" ref="BI40" si="289">$E$40</f>
        <v>1927075</v>
      </c>
      <c r="BK40" s="238">
        <f t="shared" ref="BK40" si="290">$E$40</f>
        <v>1927075</v>
      </c>
    </row>
    <row r="41" spans="1:6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c r="AH41" s="238"/>
      <c r="AI41" s="238">
        <f t="shared" ref="AI41:AK41" si="291">$E$41</f>
        <v>0</v>
      </c>
      <c r="AJ41" s="238"/>
      <c r="AK41" s="238">
        <f t="shared" si="291"/>
        <v>0</v>
      </c>
      <c r="AM41" s="238">
        <f t="shared" ref="AM41" si="292">$E$41</f>
        <v>0</v>
      </c>
      <c r="AO41" s="238">
        <f t="shared" ref="AO41" si="293">$E$41</f>
        <v>0</v>
      </c>
      <c r="AQ41" s="238">
        <f t="shared" ref="AQ41" si="294">$E$41</f>
        <v>0</v>
      </c>
      <c r="AS41" s="238">
        <f t="shared" ref="AS41" si="295">$E$41</f>
        <v>0</v>
      </c>
      <c r="AU41" s="238">
        <f t="shared" ref="AU41" si="296">$E$41</f>
        <v>0</v>
      </c>
      <c r="AW41" s="238">
        <f t="shared" ref="AW41" si="297">$E$41</f>
        <v>0</v>
      </c>
      <c r="AY41" s="238">
        <f t="shared" ref="AY41" si="298">$E$41</f>
        <v>0</v>
      </c>
      <c r="BA41" s="238">
        <f t="shared" ref="BA41" si="299">$E$41</f>
        <v>0</v>
      </c>
      <c r="BC41" s="238">
        <f t="shared" ref="BC41" si="300">$E$41</f>
        <v>0</v>
      </c>
      <c r="BE41" s="238">
        <f t="shared" ref="BE41" si="301">$E$41</f>
        <v>0</v>
      </c>
      <c r="BG41" s="238">
        <f t="shared" ref="BG41" si="302">$E$41</f>
        <v>0</v>
      </c>
      <c r="BI41" s="238">
        <f t="shared" ref="BI41" si="303">$E$41</f>
        <v>0</v>
      </c>
      <c r="BK41" s="238">
        <f t="shared" ref="BK41" si="304">$E$41</f>
        <v>0</v>
      </c>
    </row>
    <row r="42" spans="1:6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c r="AH42" s="248"/>
      <c r="AI42" s="248">
        <f t="shared" ref="AI42:AK42" si="305">$E$42</f>
        <v>0</v>
      </c>
      <c r="AJ42" s="248"/>
      <c r="AK42" s="248">
        <f t="shared" si="305"/>
        <v>0</v>
      </c>
      <c r="AM42" s="248">
        <f t="shared" ref="AM42" si="306">$E$42</f>
        <v>0</v>
      </c>
      <c r="AO42" s="248">
        <f t="shared" ref="AO42" si="307">$E$42</f>
        <v>0</v>
      </c>
      <c r="AQ42" s="248">
        <f t="shared" ref="AQ42" si="308">$E$42</f>
        <v>0</v>
      </c>
      <c r="AS42" s="248">
        <f t="shared" ref="AS42" si="309">$E$42</f>
        <v>0</v>
      </c>
      <c r="AU42" s="248">
        <f t="shared" ref="AU42" si="310">$E$42</f>
        <v>0</v>
      </c>
      <c r="AW42" s="248">
        <f t="shared" ref="AW42" si="311">$E$42</f>
        <v>0</v>
      </c>
      <c r="AY42" s="248">
        <f t="shared" ref="AY42" si="312">$E$42</f>
        <v>0</v>
      </c>
      <c r="BA42" s="248">
        <f t="shared" ref="BA42" si="313">$E$42</f>
        <v>0</v>
      </c>
      <c r="BC42" s="248">
        <f t="shared" ref="BC42" si="314">$E$42</f>
        <v>0</v>
      </c>
      <c r="BE42" s="248">
        <f t="shared" ref="BE42" si="315">$E$42</f>
        <v>0</v>
      </c>
      <c r="BG42" s="248">
        <f t="shared" ref="BG42" si="316">$E$42</f>
        <v>0</v>
      </c>
      <c r="BI42" s="248">
        <f t="shared" ref="BI42" si="317">$E$42</f>
        <v>0</v>
      </c>
      <c r="BK42" s="248">
        <f t="shared" ref="BK42" si="318">$E$42</f>
        <v>0</v>
      </c>
    </row>
    <row r="43" spans="1:63" s="239" customFormat="1" ht="15">
      <c r="A43" s="239" t="s">
        <v>877</v>
      </c>
      <c r="C43" s="240"/>
      <c r="E43" s="239">
        <f>SUM(E40:E42)</f>
        <v>1927075</v>
      </c>
      <c r="G43" s="239">
        <f>SUM(G40:G42)</f>
        <v>1927075</v>
      </c>
      <c r="I43" s="239">
        <f>SUM(I40:I42)</f>
        <v>1927075</v>
      </c>
      <c r="K43" s="239">
        <f>SUM(K40:K42)</f>
        <v>1927075</v>
      </c>
      <c r="M43" s="239">
        <f>SUM(M40:M42)</f>
        <v>1927075</v>
      </c>
      <c r="O43" s="239">
        <f>SUM(O40:O42)</f>
        <v>1927075</v>
      </c>
      <c r="Q43" s="239">
        <f>SUM(Q40:Q42)</f>
        <v>1927075</v>
      </c>
      <c r="S43" s="239">
        <f>SUM(S40:S42)</f>
        <v>1927075</v>
      </c>
      <c r="U43" s="239">
        <f>SUM(U40:U42)</f>
        <v>1927075</v>
      </c>
      <c r="W43" s="239">
        <f>SUM(W40:W42)</f>
        <v>1927075</v>
      </c>
      <c r="Y43" s="239">
        <f>SUM(Y40:Y42)</f>
        <v>1927075</v>
      </c>
      <c r="AA43" s="239">
        <f>SUM(AA40:AA42)</f>
        <v>1927075</v>
      </c>
      <c r="AC43" s="239">
        <f>SUM(AC40:AC42)</f>
        <v>1927075</v>
      </c>
      <c r="AE43" s="239">
        <f>SUM(AE40:AE42)</f>
        <v>1927075</v>
      </c>
      <c r="AG43" s="239">
        <f>SUM(AG40:AG42)</f>
        <v>1927075</v>
      </c>
      <c r="AI43" s="239">
        <f t="shared" ref="AI43" si="319">SUM(AI40:AI42)</f>
        <v>1927075</v>
      </c>
      <c r="AK43" s="239">
        <f t="shared" ref="AK43" si="320">SUM(AK40:AK42)</f>
        <v>1927075</v>
      </c>
      <c r="AM43" s="239">
        <f t="shared" ref="AM43" si="321">SUM(AM40:AM42)</f>
        <v>1927075</v>
      </c>
      <c r="AO43" s="239">
        <f t="shared" ref="AO43" si="322">SUM(AO40:AO42)</f>
        <v>1927075</v>
      </c>
      <c r="AQ43" s="239">
        <f t="shared" ref="AQ43" si="323">SUM(AQ40:AQ42)</f>
        <v>1927075</v>
      </c>
      <c r="AS43" s="239">
        <f t="shared" ref="AS43" si="324">SUM(AS40:AS42)</f>
        <v>1927075</v>
      </c>
      <c r="AU43" s="239">
        <f t="shared" ref="AU43" si="325">SUM(AU40:AU42)</f>
        <v>1927075</v>
      </c>
      <c r="AW43" s="239">
        <f t="shared" ref="AW43" si="326">SUM(AW40:AW42)</f>
        <v>1927075</v>
      </c>
      <c r="AY43" s="239">
        <f t="shared" ref="AY43" si="327">SUM(AY40:AY42)</f>
        <v>1927075</v>
      </c>
      <c r="BA43" s="239">
        <f t="shared" ref="BA43" si="328">SUM(BA40:BA42)</f>
        <v>1927075</v>
      </c>
      <c r="BC43" s="239">
        <f t="shared" ref="BC43" si="329">SUM(BC40:BC42)</f>
        <v>1927075</v>
      </c>
      <c r="BE43" s="239">
        <f t="shared" ref="BE43" si="330">SUM(BE40:BE42)</f>
        <v>1927075</v>
      </c>
      <c r="BG43" s="239">
        <f t="shared" ref="BG43" si="331">SUM(BG40:BG42)</f>
        <v>1927075</v>
      </c>
      <c r="BI43" s="239">
        <f t="shared" ref="BI43" si="332">SUM(BI40:BI42)</f>
        <v>1927075</v>
      </c>
      <c r="BK43" s="239">
        <f t="shared" ref="BK43" si="333">SUM(BK40:BK42)</f>
        <v>1927075</v>
      </c>
    </row>
    <row r="44" spans="1:6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M44" s="238"/>
      <c r="AO44" s="238"/>
      <c r="AQ44" s="238"/>
      <c r="AS44" s="238"/>
      <c r="AU44" s="238"/>
      <c r="AW44" s="238"/>
      <c r="AY44" s="238"/>
      <c r="BA44" s="238"/>
      <c r="BC44" s="238"/>
      <c r="BE44" s="238"/>
      <c r="BG44" s="238"/>
      <c r="BI44" s="238"/>
      <c r="BK44" s="238"/>
    </row>
    <row r="45" spans="1:63" s="239" customFormat="1" ht="15">
      <c r="A45" s="239" t="s">
        <v>878</v>
      </c>
      <c r="C45" s="240"/>
      <c r="E45" s="239">
        <f>E37-E43</f>
        <v>300452</v>
      </c>
      <c r="G45" s="239">
        <f>G37-G43</f>
        <v>346657.49499999965</v>
      </c>
      <c r="I45" s="239">
        <f>I37-I43</f>
        <v>393636.7960749995</v>
      </c>
      <c r="K45" s="239">
        <f>K37-K43</f>
        <v>441395.90178137459</v>
      </c>
      <c r="M45" s="239">
        <f>M37-M43</f>
        <v>489940.49350856617</v>
      </c>
      <c r="O45" s="239">
        <f>O37-O43</f>
        <v>539275.91120033059</v>
      </c>
      <c r="Q45" s="239">
        <f>Q37-Q43</f>
        <v>589407.12789678108</v>
      </c>
      <c r="S45" s="239">
        <f>S37-S43</f>
        <v>640338.72304771747</v>
      </c>
      <c r="U45" s="239">
        <f>U37-U43</f>
        <v>692074.85454580141</v>
      </c>
      <c r="W45" s="239">
        <f>W37-W43</f>
        <v>744619.22942610225</v>
      </c>
      <c r="Y45" s="239">
        <f>Y37-Y43</f>
        <v>797975.07317649527</v>
      </c>
      <c r="AA45" s="239">
        <f>AA37-AA43</f>
        <v>852145.0976011632</v>
      </c>
      <c r="AC45" s="239">
        <f>AC37-AC43</f>
        <v>907131.46717728302</v>
      </c>
      <c r="AE45" s="239">
        <f>AE37-AE43</f>
        <v>962935.76384256687</v>
      </c>
      <c r="AG45" s="239">
        <f>AG37-AG43</f>
        <v>1019558.9501489885</v>
      </c>
      <c r="AI45" s="239">
        <f t="shared" ref="AI45:AK45" si="334">AI37-AI43</f>
        <v>1077001.3307154342</v>
      </c>
      <c r="AK45" s="239">
        <f t="shared" si="334"/>
        <v>1135262.5119094858</v>
      </c>
      <c r="AM45" s="239">
        <f t="shared" ref="AM45" si="335">AM37-AM43</f>
        <v>1194341.3596858038</v>
      </c>
      <c r="AO45" s="239">
        <f t="shared" ref="AO45" si="336">AO37-AO43</f>
        <v>1254235.955505779</v>
      </c>
      <c r="AQ45" s="239">
        <f t="shared" ref="AQ45" si="337">AQ37-AQ43</f>
        <v>1314943.5502602309</v>
      </c>
      <c r="AS45" s="239">
        <f t="shared" ref="AS45" si="338">AS37-AS43</f>
        <v>1376460.5161138801</v>
      </c>
      <c r="AU45" s="239">
        <f t="shared" ref="AU45" si="339">AU37-AU43</f>
        <v>1438782.2961872714</v>
      </c>
      <c r="AW45" s="239">
        <f t="shared" ref="AW45" si="340">AW37-AW43</f>
        <v>1501903.351988466</v>
      </c>
      <c r="AY45" s="239">
        <f t="shared" ref="AY45" si="341">AY37-AY43</f>
        <v>1565817.1085035689</v>
      </c>
      <c r="BA45" s="239">
        <f t="shared" ref="BA45" si="342">BA37-BA43</f>
        <v>1630515.8968515876</v>
      </c>
      <c r="BC45" s="239">
        <f t="shared" ref="BC45" si="343">BC37-BC43</f>
        <v>1695990.8944055471</v>
      </c>
      <c r="BE45" s="239">
        <f t="shared" ref="BE45" si="344">BE37-BE43</f>
        <v>1762232.0622779983</v>
      </c>
      <c r="BG45" s="239">
        <f t="shared" ref="BG45" si="345">BG37-BG43</f>
        <v>1829228.0800651922</v>
      </c>
      <c r="BI45" s="239">
        <f t="shared" ref="BI45" si="346">BI37-BI43</f>
        <v>1896966.2777401246</v>
      </c>
      <c r="BK45" s="239">
        <f t="shared" ref="BK45" si="347">BK37-BK43</f>
        <v>1965432.5645804969</v>
      </c>
    </row>
    <row r="46" spans="1:6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M46" s="238"/>
      <c r="AO46" s="238"/>
      <c r="AQ46" s="238"/>
      <c r="AS46" s="238"/>
      <c r="AU46" s="238"/>
      <c r="AW46" s="238"/>
      <c r="AY46" s="238"/>
      <c r="BA46" s="238"/>
      <c r="BC46" s="238"/>
      <c r="BE46" s="238"/>
      <c r="BG46" s="238"/>
      <c r="BI46" s="238"/>
      <c r="BK46" s="238"/>
    </row>
    <row r="47" spans="1:63" s="243" customFormat="1" ht="14.25">
      <c r="A47" s="243" t="s">
        <v>880</v>
      </c>
      <c r="C47" s="236"/>
      <c r="E47" s="243">
        <f>E45/(E4+E6+E8)</f>
        <v>8.4608149587451775E-2</v>
      </c>
      <c r="G47" s="243">
        <f>G45/(G4+G6+G8)</f>
        <v>9.5238780700724043E-2</v>
      </c>
      <c r="I47" s="243">
        <f>I45/(I4+I6+I8)</f>
        <v>0.10550791849719</v>
      </c>
      <c r="K47" s="243">
        <f>K45/(K4+K6+K8)</f>
        <v>0.11542338271988281</v>
      </c>
      <c r="M47" s="243">
        <f>M45/(M4+M6+M8)</f>
        <v>0.12499279265793579</v>
      </c>
      <c r="O47" s="243">
        <f>O45/(O4+O6+O8)</f>
        <v>0.1342235719407906</v>
      </c>
      <c r="Q47" s="243">
        <f>Q45/(Q4+Q6+Q8)</f>
        <v>0.14312295321454668</v>
      </c>
      <c r="S47" s="243">
        <f>S45/(S4+S6+S8)</f>
        <v>0.15169798270331858</v>
      </c>
      <c r="U47" s="243">
        <f>U45/(U4+U6+U8)</f>
        <v>0.15995552465839769</v>
      </c>
      <c r="W47" s="243">
        <f>W45/(W4+W6+W8)</f>
        <v>0.16790226569794195</v>
      </c>
      <c r="Y47" s="243">
        <f>Y45/(Y4+Y6+Y8)</f>
        <v>0.17554471903986046</v>
      </c>
      <c r="AA47" s="243">
        <f>AA45/(AA4+AA6+AA8)</f>
        <v>0.18288922863048074</v>
      </c>
      <c r="AC47" s="243">
        <f>AC45/(AC4+AC6+AC8)</f>
        <v>0.18994197317153955</v>
      </c>
      <c r="AE47" s="243">
        <f>AE45/(AE4+AE6+AE8)</f>
        <v>0.19670897004795912</v>
      </c>
      <c r="AG47" s="243">
        <f>AG45/(AG4+AG6+AG8)</f>
        <v>0.20319607915882781</v>
      </c>
      <c r="AI47" s="243">
        <f t="shared" ref="AI47:AK47" si="348">AI45/(AI4+AI6+AI8)</f>
        <v>0.20940900665392734</v>
      </c>
      <c r="AK47" s="243">
        <f t="shared" si="348"/>
        <v>0.21535330857810719</v>
      </c>
      <c r="AM47" s="243">
        <f t="shared" ref="AM47" si="349">AM45/(AM4+AM6+AM8)</f>
        <v>0.22103439442574127</v>
      </c>
      <c r="AO47" s="243">
        <f t="shared" ref="AO47" si="350">AO45/(AO4+AO6+AO8)</f>
        <v>0.22645753060744975</v>
      </c>
      <c r="AQ47" s="243">
        <f t="shared" ref="AQ47" si="351">AQ45/(AQ4+AQ6+AQ8)</f>
        <v>0.23162784383121729</v>
      </c>
      <c r="AS47" s="243">
        <f t="shared" ref="AS47" si="352">AS45/(AS4+AS6+AS8)</f>
        <v>0.23655032439998042</v>
      </c>
      <c r="AU47" s="243">
        <f t="shared" ref="AU47" si="353">AU45/(AU4+AU6+AU8)</f>
        <v>0.24122982942772106</v>
      </c>
      <c r="AW47" s="243">
        <f t="shared" ref="AW47" si="354">AW45/(AW4+AW6+AW8)</f>
        <v>0.24567108597603124</v>
      </c>
      <c r="AY47" s="243">
        <f t="shared" ref="AY47" si="355">AY45/(AY4+AY6+AY8)</f>
        <v>0.24987869411308788</v>
      </c>
      <c r="BA47" s="243">
        <f t="shared" ref="BA47" si="356">BA45/(BA4+BA6+BA8)</f>
        <v>0.25385712989691356</v>
      </c>
      <c r="BC47" s="243">
        <f t="shared" ref="BC47" si="357">BC45/(BC4+BC6+BC8)</f>
        <v>0.25761074828476249</v>
      </c>
      <c r="BE47" s="243">
        <f t="shared" ref="BE47" si="358">BE45/(BE4+BE6+BE8)</f>
        <v>0.26114378597042082</v>
      </c>
      <c r="BG47" s="243">
        <f t="shared" ref="BG47" si="359">BG45/(BG4+BG6+BG8)</f>
        <v>0.26446036415116947</v>
      </c>
      <c r="BI47" s="243">
        <f t="shared" ref="BI47" si="360">BI45/(BI4+BI6+BI8)</f>
        <v>0.26756449122611309</v>
      </c>
      <c r="BK47" s="243">
        <f t="shared" ref="BK47" si="361">BK45/(BK4+BK6+BK8)</f>
        <v>0.27046006542753914</v>
      </c>
    </row>
    <row r="48" spans="1:63" s="243" customFormat="1" ht="14.25">
      <c r="A48" s="243" t="s">
        <v>881</v>
      </c>
      <c r="C48" s="236"/>
      <c r="E48" s="243">
        <f>E45/E43</f>
        <v>0.15591090123632967</v>
      </c>
      <c r="G48" s="243">
        <f>G45/G43</f>
        <v>0.1798879104342071</v>
      </c>
      <c r="I48" s="243">
        <f>I45/I43</f>
        <v>0.20426646398038451</v>
      </c>
      <c r="K48" s="243">
        <f>K45/K43</f>
        <v>0.22904967465271181</v>
      </c>
      <c r="M48" s="243">
        <f>M45/M43</f>
        <v>0.25424049064440468</v>
      </c>
      <c r="O48" s="243">
        <f>O45/O43</f>
        <v>0.27984168296528705</v>
      </c>
      <c r="Q48" s="243">
        <f>Q45/Q43</f>
        <v>0.30585583223111767</v>
      </c>
      <c r="S48" s="243">
        <f>S45/S43</f>
        <v>0.33228531481531204</v>
      </c>
      <c r="U48" s="243">
        <f>U45/U43</f>
        <v>0.35913228833636546</v>
      </c>
      <c r="W48" s="243">
        <f>W45/W43</f>
        <v>0.3863986764532269</v>
      </c>
      <c r="Y48" s="243">
        <f>Y45/Y43</f>
        <v>0.41408615293981565</v>
      </c>
      <c r="AA48" s="243">
        <f>AA45/AA43</f>
        <v>0.44219612500871175</v>
      </c>
      <c r="AC48" s="243">
        <f>AC45/AC43</f>
        <v>0.47072971585292894</v>
      </c>
      <c r="AE48" s="243">
        <f>AE45/AE43</f>
        <v>0.49968774637342445</v>
      </c>
      <c r="AG48" s="243">
        <f>AG45/AG43</f>
        <v>0.52907071605878786</v>
      </c>
      <c r="AI48" s="243">
        <f t="shared" ref="AI48:AK48" si="362">AI45/AI43</f>
        <v>0.55887878298220572</v>
      </c>
      <c r="AK48" s="243">
        <f t="shared" si="362"/>
        <v>0.5891117428794862</v>
      </c>
      <c r="AM48" s="243">
        <f t="shared" ref="AM48" si="363">AM45/AM43</f>
        <v>0.61976900727050255</v>
      </c>
      <c r="AO48" s="243">
        <f t="shared" ref="AO48" si="364">AO45/AO43</f>
        <v>0.65084958058496889</v>
      </c>
      <c r="AQ48" s="243">
        <f t="shared" ref="AQ48" si="365">AQ45/AQ43</f>
        <v>0.68235203625195229</v>
      </c>
      <c r="AS48" s="243">
        <f t="shared" ref="AS48" si="366">AS45/AS43</f>
        <v>0.71427449171095059</v>
      </c>
      <c r="AU48" s="243">
        <f t="shared" ref="AU48" si="367">AU45/AU43</f>
        <v>0.74661458230077782</v>
      </c>
      <c r="AW48" s="243">
        <f t="shared" ref="AW48" si="368">AW45/AW43</f>
        <v>0.77936943398075631</v>
      </c>
      <c r="AY48" s="243">
        <f t="shared" ref="AY48" si="369">AY45/AY43</f>
        <v>0.81253563483702962</v>
      </c>
      <c r="BA48" s="243">
        <f t="shared" ref="BA48" si="370">BA45/BA43</f>
        <v>0.84610920532495493</v>
      </c>
      <c r="BC48" s="243">
        <f t="shared" ref="BC48" si="371">BC45/BC43</f>
        <v>0.88008556719668252</v>
      </c>
      <c r="BE48" s="243">
        <f t="shared" ref="BE48" si="372">BE45/BE43</f>
        <v>0.91445951106106316</v>
      </c>
      <c r="BG48" s="243">
        <f t="shared" ref="BG48" si="373">BG45/BG43</f>
        <v>0.94922516252101874</v>
      </c>
      <c r="BI48" s="243">
        <f t="shared" ref="BI48" si="374">BI45/BI43</f>
        <v>0.98437594683140228</v>
      </c>
      <c r="BK48" s="243">
        <f t="shared" ref="BK48" si="375">BK45/BK43</f>
        <v>1.0199045520182124</v>
      </c>
    </row>
    <row r="49" spans="1:63" s="244" customFormat="1" ht="14.25">
      <c r="A49" s="244" t="s">
        <v>879</v>
      </c>
      <c r="C49" s="245"/>
      <c r="E49" s="244">
        <f>E37/E43</f>
        <v>1.1559109012363298</v>
      </c>
      <c r="G49" s="244">
        <f>G37/G43</f>
        <v>1.179887910434207</v>
      </c>
      <c r="I49" s="244">
        <f>I37/I43</f>
        <v>1.2042664639803846</v>
      </c>
      <c r="K49" s="244">
        <f>K37/K43</f>
        <v>1.2290496746527118</v>
      </c>
      <c r="M49" s="244">
        <f>M37/M43</f>
        <v>1.2542404906444047</v>
      </c>
      <c r="O49" s="244">
        <f>O37/O43</f>
        <v>1.279841682965287</v>
      </c>
      <c r="Q49" s="244">
        <f>Q37/Q43</f>
        <v>1.3058558322311176</v>
      </c>
      <c r="S49" s="244">
        <f>S37/S43</f>
        <v>1.332285314815312</v>
      </c>
      <c r="U49" s="244">
        <f>U37/U43</f>
        <v>1.3591322883363655</v>
      </c>
      <c r="W49" s="244">
        <f>W37/W43</f>
        <v>1.386398676453227</v>
      </c>
      <c r="Y49" s="244">
        <f>Y37/Y43</f>
        <v>1.4140861529398157</v>
      </c>
      <c r="AA49" s="244">
        <f>AA37/AA43</f>
        <v>1.4421961250087119</v>
      </c>
      <c r="AC49" s="244">
        <f>AC37/AC43</f>
        <v>1.4707297158529289</v>
      </c>
      <c r="AE49" s="244">
        <f>AE37/AE43</f>
        <v>1.4996877463734244</v>
      </c>
      <c r="AG49" s="244">
        <f>AG37/AG43</f>
        <v>1.5290707160587877</v>
      </c>
      <c r="AI49" s="244">
        <f t="shared" ref="AI49:AK49" si="376">AI37/AI43</f>
        <v>1.5588787829822057</v>
      </c>
      <c r="AK49" s="244">
        <f t="shared" si="376"/>
        <v>1.5891117428794861</v>
      </c>
      <c r="AM49" s="244">
        <f t="shared" ref="AM49" si="377">AM37/AM43</f>
        <v>1.6197690072705027</v>
      </c>
      <c r="AO49" s="244">
        <f t="shared" ref="AO49" si="378">AO37/AO43</f>
        <v>1.650849580584969</v>
      </c>
      <c r="AQ49" s="244">
        <f t="shared" ref="AQ49" si="379">AQ37/AQ43</f>
        <v>1.6823520362519522</v>
      </c>
      <c r="AS49" s="244">
        <f t="shared" ref="AS49" si="380">AS37/AS43</f>
        <v>1.7142744917109505</v>
      </c>
      <c r="AU49" s="244">
        <f t="shared" ref="AU49" si="381">AU37/AU43</f>
        <v>1.7466145823007777</v>
      </c>
      <c r="AW49" s="244">
        <f t="shared" ref="AW49" si="382">AW37/AW43</f>
        <v>1.7793694339807564</v>
      </c>
      <c r="AY49" s="244">
        <f t="shared" ref="AY49" si="383">AY37/AY43</f>
        <v>1.8125356348370296</v>
      </c>
      <c r="BA49" s="244">
        <f t="shared" ref="BA49" si="384">BA37/BA43</f>
        <v>1.846109205324955</v>
      </c>
      <c r="BC49" s="244">
        <f t="shared" ref="BC49" si="385">BC37/BC43</f>
        <v>1.8800855671966825</v>
      </c>
      <c r="BE49" s="244">
        <f t="shared" ref="BE49" si="386">BE37/BE43</f>
        <v>1.9144595110610632</v>
      </c>
      <c r="BG49" s="244">
        <f t="shared" ref="BG49" si="387">BG37/BG43</f>
        <v>1.9492251625210189</v>
      </c>
      <c r="BI49" s="244">
        <f t="shared" ref="BI49" si="388">BI37/BI43</f>
        <v>1.9843759468314024</v>
      </c>
      <c r="BK49" s="244">
        <f t="shared" ref="BK49" si="389">BK37/BK43</f>
        <v>2.0199045520182124</v>
      </c>
    </row>
    <row r="50" spans="1:63"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M50" s="248"/>
      <c r="AO50" s="248"/>
      <c r="AQ50" s="248"/>
      <c r="AS50" s="248"/>
      <c r="AU50" s="248"/>
      <c r="AW50" s="248"/>
      <c r="AY50" s="248"/>
      <c r="BA50" s="248"/>
      <c r="BC50" s="248"/>
      <c r="BE50" s="248"/>
      <c r="BG50" s="248"/>
      <c r="BI50" s="248"/>
      <c r="BK50" s="248"/>
    </row>
    <row r="51" spans="1:63" s="3" customFormat="1">
      <c r="A51" s="3" t="s">
        <v>891</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c r="AH51" s="994"/>
      <c r="AI51" s="994"/>
      <c r="AJ51" s="994"/>
      <c r="AK51" s="994"/>
      <c r="AM51" s="994"/>
      <c r="AO51" s="994"/>
      <c r="AQ51" s="994"/>
      <c r="AS51" s="994"/>
      <c r="AU51" s="994"/>
      <c r="AW51" s="994"/>
      <c r="AY51" s="994"/>
      <c r="BA51" s="994"/>
      <c r="BC51" s="994"/>
      <c r="BE51" s="994"/>
      <c r="BG51" s="994"/>
      <c r="BI51" s="994"/>
      <c r="BK51" s="994"/>
    </row>
    <row r="52" spans="1:63" s="3" customFormat="1">
      <c r="A52" s="2555" t="s">
        <v>1328</v>
      </c>
      <c r="B52" s="2555"/>
      <c r="C52" s="2555"/>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c r="AH52" s="994"/>
      <c r="AI52" s="994"/>
      <c r="AJ52" s="994"/>
      <c r="AK52" s="994"/>
      <c r="AM52" s="994"/>
      <c r="AO52" s="994"/>
      <c r="AQ52" s="994"/>
      <c r="AS52" s="994"/>
      <c r="AU52" s="994"/>
      <c r="AW52" s="994"/>
      <c r="AY52" s="994"/>
      <c r="BA52" s="994"/>
      <c r="BC52" s="994"/>
      <c r="BE52" s="994"/>
      <c r="BG52" s="994"/>
      <c r="BI52" s="994"/>
      <c r="BK52" s="994"/>
    </row>
    <row r="53" spans="1:63" s="996" customFormat="1">
      <c r="A53" s="996" t="s">
        <v>883</v>
      </c>
      <c r="C53" s="997"/>
      <c r="E53" s="998">
        <v>20000</v>
      </c>
      <c r="G53" s="994">
        <f>E53</f>
        <v>20000</v>
      </c>
      <c r="I53" s="994">
        <f t="shared" ref="I53:I54" si="390">G53</f>
        <v>20000</v>
      </c>
      <c r="K53" s="994">
        <f t="shared" ref="K53:K54" si="391">I53</f>
        <v>20000</v>
      </c>
      <c r="M53" s="994">
        <f t="shared" ref="M53:M54" si="392">K53</f>
        <v>20000</v>
      </c>
      <c r="O53" s="994">
        <f t="shared" ref="O53:O54" si="393">M53</f>
        <v>20000</v>
      </c>
      <c r="Q53" s="994">
        <f t="shared" ref="Q53:Q54" si="394">O53</f>
        <v>20000</v>
      </c>
      <c r="S53" s="994">
        <f t="shared" ref="S53:S54" si="395">Q53</f>
        <v>20000</v>
      </c>
      <c r="U53" s="994">
        <f t="shared" ref="U53:U54" si="396">S53</f>
        <v>20000</v>
      </c>
      <c r="W53" s="994">
        <f t="shared" ref="W53:W54" si="397">U53</f>
        <v>20000</v>
      </c>
      <c r="Y53" s="994">
        <f t="shared" ref="Y53:Y54" si="398">W53</f>
        <v>20000</v>
      </c>
      <c r="AA53" s="994">
        <f t="shared" ref="AA53:AA54" si="399">Y53</f>
        <v>20000</v>
      </c>
      <c r="AC53" s="994">
        <f t="shared" ref="AC53:AC54" si="400">AA53</f>
        <v>20000</v>
      </c>
      <c r="AE53" s="994">
        <f t="shared" ref="AE53:AE54" si="401">AC53</f>
        <v>20000</v>
      </c>
      <c r="AG53" s="994">
        <f t="shared" ref="AG53:AG54" si="402">AE53</f>
        <v>20000</v>
      </c>
      <c r="AI53" s="994">
        <f t="shared" ref="AI53:AI54" si="403">AG53</f>
        <v>20000</v>
      </c>
      <c r="AK53" s="994">
        <f t="shared" ref="AK53:AK54" si="404">AI53</f>
        <v>20000</v>
      </c>
      <c r="AM53" s="994">
        <f t="shared" ref="AM53:AM54" si="405">AK53</f>
        <v>20000</v>
      </c>
      <c r="AO53" s="994">
        <f t="shared" ref="AO53:AO54" si="406">AM53</f>
        <v>20000</v>
      </c>
      <c r="AQ53" s="994">
        <f t="shared" ref="AQ53:AQ54" si="407">AO53</f>
        <v>20000</v>
      </c>
      <c r="AS53" s="994">
        <f t="shared" ref="AS53:AS54" si="408">AQ53</f>
        <v>20000</v>
      </c>
      <c r="AU53" s="994">
        <f t="shared" ref="AU53:AU54" si="409">AS53</f>
        <v>20000</v>
      </c>
      <c r="AW53" s="994">
        <f t="shared" ref="AW53:AW54" si="410">AU53</f>
        <v>20000</v>
      </c>
      <c r="AY53" s="994">
        <f t="shared" ref="AY53:AY54" si="411">AW53</f>
        <v>20000</v>
      </c>
      <c r="BA53" s="994">
        <f t="shared" ref="BA53:BA54" si="412">AY53</f>
        <v>20000</v>
      </c>
      <c r="BC53" s="994">
        <f t="shared" ref="BC53:BC54" si="413">BA53</f>
        <v>20000</v>
      </c>
      <c r="BE53" s="994">
        <f t="shared" ref="BE53:BE54" si="414">BC53</f>
        <v>20000</v>
      </c>
      <c r="BG53" s="994">
        <f t="shared" ref="BG53:BG54" si="415">BE53</f>
        <v>20000</v>
      </c>
      <c r="BI53" s="994">
        <f t="shared" ref="BI53:BK54" si="416">BG53</f>
        <v>20000</v>
      </c>
      <c r="BK53" s="994">
        <f t="shared" si="416"/>
        <v>20000</v>
      </c>
    </row>
    <row r="54" spans="1:63" s="994" customFormat="1">
      <c r="A54" s="3" t="s">
        <v>884</v>
      </c>
      <c r="B54" s="3"/>
      <c r="C54" s="992"/>
      <c r="D54" s="3"/>
      <c r="E54" s="999">
        <v>10000</v>
      </c>
      <c r="G54" s="994">
        <f>E54</f>
        <v>10000</v>
      </c>
      <c r="I54" s="994">
        <f t="shared" si="390"/>
        <v>10000</v>
      </c>
      <c r="K54" s="994">
        <f t="shared" si="391"/>
        <v>10000</v>
      </c>
      <c r="M54" s="994">
        <f t="shared" si="392"/>
        <v>10000</v>
      </c>
      <c r="O54" s="994">
        <f t="shared" si="393"/>
        <v>10000</v>
      </c>
      <c r="Q54" s="994">
        <f t="shared" si="394"/>
        <v>10000</v>
      </c>
      <c r="S54" s="994">
        <f t="shared" si="395"/>
        <v>10000</v>
      </c>
      <c r="U54" s="994">
        <f t="shared" si="396"/>
        <v>10000</v>
      </c>
      <c r="W54" s="994">
        <f t="shared" si="397"/>
        <v>10000</v>
      </c>
      <c r="Y54" s="994">
        <f t="shared" si="398"/>
        <v>10000</v>
      </c>
      <c r="AA54" s="994">
        <f t="shared" si="399"/>
        <v>10000</v>
      </c>
      <c r="AC54" s="994">
        <f t="shared" si="400"/>
        <v>10000</v>
      </c>
      <c r="AE54" s="994">
        <f t="shared" si="401"/>
        <v>10000</v>
      </c>
      <c r="AG54" s="994">
        <f t="shared" si="402"/>
        <v>10000</v>
      </c>
      <c r="AI54" s="994">
        <f t="shared" si="403"/>
        <v>10000</v>
      </c>
      <c r="AK54" s="994">
        <f t="shared" si="404"/>
        <v>10000</v>
      </c>
      <c r="AM54" s="994">
        <f t="shared" si="405"/>
        <v>10000</v>
      </c>
      <c r="AO54" s="994">
        <f t="shared" si="406"/>
        <v>10000</v>
      </c>
      <c r="AQ54" s="994">
        <f t="shared" si="407"/>
        <v>10000</v>
      </c>
      <c r="AS54" s="994">
        <f t="shared" si="408"/>
        <v>10000</v>
      </c>
      <c r="AU54" s="994">
        <f t="shared" si="409"/>
        <v>10000</v>
      </c>
      <c r="AW54" s="994">
        <f t="shared" si="410"/>
        <v>10000</v>
      </c>
      <c r="AY54" s="994">
        <f t="shared" si="411"/>
        <v>10000</v>
      </c>
      <c r="BA54" s="994">
        <f t="shared" si="412"/>
        <v>10000</v>
      </c>
      <c r="BC54" s="994">
        <f t="shared" si="413"/>
        <v>10000</v>
      </c>
      <c r="BE54" s="994">
        <f t="shared" si="414"/>
        <v>10000</v>
      </c>
      <c r="BG54" s="994">
        <f t="shared" si="415"/>
        <v>10000</v>
      </c>
      <c r="BI54" s="994">
        <f t="shared" si="416"/>
        <v>10000</v>
      </c>
      <c r="BK54" s="994">
        <f t="shared" si="416"/>
        <v>10000</v>
      </c>
    </row>
    <row r="55" spans="1:63" s="994" customFormat="1">
      <c r="A55" s="3" t="s">
        <v>885</v>
      </c>
      <c r="B55" s="3"/>
      <c r="C55" s="992"/>
      <c r="D55" s="3"/>
      <c r="E55" s="999"/>
      <c r="G55" s="994">
        <f t="shared" ref="G55:AG57" si="417">E55*$C$53</f>
        <v>0</v>
      </c>
      <c r="I55" s="994">
        <f t="shared" si="417"/>
        <v>0</v>
      </c>
      <c r="K55" s="994">
        <f t="shared" si="417"/>
        <v>0</v>
      </c>
      <c r="M55" s="994">
        <f t="shared" si="417"/>
        <v>0</v>
      </c>
      <c r="O55" s="994">
        <f t="shared" si="417"/>
        <v>0</v>
      </c>
      <c r="Q55" s="994">
        <f t="shared" si="417"/>
        <v>0</v>
      </c>
      <c r="S55" s="994">
        <f t="shared" si="417"/>
        <v>0</v>
      </c>
      <c r="U55" s="994">
        <f t="shared" si="417"/>
        <v>0</v>
      </c>
      <c r="W55" s="994">
        <f t="shared" si="417"/>
        <v>0</v>
      </c>
      <c r="Y55" s="994">
        <f t="shared" si="417"/>
        <v>0</v>
      </c>
      <c r="AA55" s="994">
        <f t="shared" si="417"/>
        <v>0</v>
      </c>
      <c r="AC55" s="994">
        <f t="shared" si="417"/>
        <v>0</v>
      </c>
      <c r="AE55" s="994">
        <f t="shared" si="417"/>
        <v>0</v>
      </c>
      <c r="AG55" s="994">
        <f t="shared" si="417"/>
        <v>0</v>
      </c>
      <c r="AI55" s="994">
        <f>AG55*$C$53</f>
        <v>0</v>
      </c>
      <c r="AK55" s="994">
        <f>AI55*$C$53</f>
        <v>0</v>
      </c>
      <c r="AM55" s="994">
        <f t="shared" ref="AM55:AM57" si="418">AK55*$C$53</f>
        <v>0</v>
      </c>
      <c r="AO55" s="994">
        <f t="shared" ref="AO55:AO57" si="419">AM55*$C$53</f>
        <v>0</v>
      </c>
      <c r="AQ55" s="994">
        <f t="shared" ref="AQ55:AQ57" si="420">AO55*$C$53</f>
        <v>0</v>
      </c>
      <c r="AS55" s="994">
        <f t="shared" ref="AS55:AS57" si="421">AQ55*$C$53</f>
        <v>0</v>
      </c>
      <c r="AU55" s="994">
        <f t="shared" ref="AU55:AU57" si="422">AS55*$C$53</f>
        <v>0</v>
      </c>
      <c r="AW55" s="994">
        <f t="shared" ref="AW55:AW57" si="423">AU55*$C$53</f>
        <v>0</v>
      </c>
      <c r="AY55" s="994">
        <f t="shared" ref="AY55:AY57" si="424">AW55*$C$53</f>
        <v>0</v>
      </c>
      <c r="BA55" s="994">
        <f t="shared" ref="BA55:BA57" si="425">AY55*$C$53</f>
        <v>0</v>
      </c>
      <c r="BC55" s="994">
        <f t="shared" ref="BC55:BC57" si="426">BA55*$C$53</f>
        <v>0</v>
      </c>
      <c r="BE55" s="994">
        <f t="shared" ref="BE55:BE57" si="427">BC55*$C$53</f>
        <v>0</v>
      </c>
      <c r="BG55" s="994">
        <f t="shared" ref="BG55:BG57" si="428">BE55*$C$53</f>
        <v>0</v>
      </c>
      <c r="BI55" s="994">
        <f t="shared" ref="BI55:BI57" si="429">BG55*$C$53</f>
        <v>0</v>
      </c>
      <c r="BK55" s="994">
        <f t="shared" ref="BK55:BK57" si="430">BI55*$C$53</f>
        <v>0</v>
      </c>
    </row>
    <row r="56" spans="1:63" s="994" customFormat="1">
      <c r="A56" s="1000"/>
      <c r="B56" s="1000"/>
      <c r="C56" s="992"/>
      <c r="D56" s="3"/>
      <c r="E56" s="999"/>
      <c r="G56" s="994">
        <f t="shared" si="417"/>
        <v>0</v>
      </c>
      <c r="I56" s="994">
        <f t="shared" si="417"/>
        <v>0</v>
      </c>
      <c r="K56" s="994">
        <f t="shared" si="417"/>
        <v>0</v>
      </c>
      <c r="M56" s="994">
        <f t="shared" si="417"/>
        <v>0</v>
      </c>
      <c r="O56" s="994">
        <f t="shared" si="417"/>
        <v>0</v>
      </c>
      <c r="Q56" s="994">
        <f t="shared" si="417"/>
        <v>0</v>
      </c>
      <c r="S56" s="994">
        <f t="shared" si="417"/>
        <v>0</v>
      </c>
      <c r="U56" s="994">
        <f t="shared" si="417"/>
        <v>0</v>
      </c>
      <c r="W56" s="994">
        <f t="shared" si="417"/>
        <v>0</v>
      </c>
      <c r="Y56" s="994">
        <f t="shared" si="417"/>
        <v>0</v>
      </c>
      <c r="AA56" s="994">
        <f t="shared" si="417"/>
        <v>0</v>
      </c>
      <c r="AC56" s="994">
        <f t="shared" si="417"/>
        <v>0</v>
      </c>
      <c r="AE56" s="994">
        <f t="shared" si="417"/>
        <v>0</v>
      </c>
      <c r="AG56" s="994">
        <f t="shared" si="417"/>
        <v>0</v>
      </c>
      <c r="AI56" s="994">
        <f>AG56*$C$53</f>
        <v>0</v>
      </c>
      <c r="AK56" s="994">
        <f>AI56*$C$53</f>
        <v>0</v>
      </c>
      <c r="AM56" s="994">
        <f t="shared" si="418"/>
        <v>0</v>
      </c>
      <c r="AO56" s="994">
        <f t="shared" si="419"/>
        <v>0</v>
      </c>
      <c r="AQ56" s="994">
        <f t="shared" si="420"/>
        <v>0</v>
      </c>
      <c r="AS56" s="994">
        <f t="shared" si="421"/>
        <v>0</v>
      </c>
      <c r="AU56" s="994">
        <f t="shared" si="422"/>
        <v>0</v>
      </c>
      <c r="AW56" s="994">
        <f t="shared" si="423"/>
        <v>0</v>
      </c>
      <c r="AY56" s="994">
        <f t="shared" si="424"/>
        <v>0</v>
      </c>
      <c r="BA56" s="994">
        <f t="shared" si="425"/>
        <v>0</v>
      </c>
      <c r="BC56" s="994">
        <f t="shared" si="426"/>
        <v>0</v>
      </c>
      <c r="BE56" s="994">
        <f t="shared" si="427"/>
        <v>0</v>
      </c>
      <c r="BG56" s="994">
        <f t="shared" si="428"/>
        <v>0</v>
      </c>
      <c r="BI56" s="994">
        <f t="shared" si="429"/>
        <v>0</v>
      </c>
      <c r="BK56" s="994">
        <f t="shared" si="430"/>
        <v>0</v>
      </c>
    </row>
    <row r="57" spans="1:63" s="994" customFormat="1">
      <c r="A57" s="1000"/>
      <c r="B57" s="1000"/>
      <c r="C57" s="992"/>
      <c r="D57" s="3"/>
      <c r="E57" s="1001"/>
      <c r="G57" s="1002">
        <f t="shared" si="417"/>
        <v>0</v>
      </c>
      <c r="I57" s="1002">
        <f t="shared" si="417"/>
        <v>0</v>
      </c>
      <c r="K57" s="1002">
        <f t="shared" si="417"/>
        <v>0</v>
      </c>
      <c r="M57" s="1002">
        <f t="shared" si="417"/>
        <v>0</v>
      </c>
      <c r="O57" s="1002">
        <f t="shared" si="417"/>
        <v>0</v>
      </c>
      <c r="Q57" s="1002">
        <f t="shared" si="417"/>
        <v>0</v>
      </c>
      <c r="S57" s="1002">
        <f t="shared" si="417"/>
        <v>0</v>
      </c>
      <c r="U57" s="1002">
        <f t="shared" si="417"/>
        <v>0</v>
      </c>
      <c r="W57" s="1002">
        <f t="shared" si="417"/>
        <v>0</v>
      </c>
      <c r="Y57" s="1002">
        <f t="shared" si="417"/>
        <v>0</v>
      </c>
      <c r="AA57" s="1002">
        <f t="shared" si="417"/>
        <v>0</v>
      </c>
      <c r="AC57" s="1002">
        <f t="shared" si="417"/>
        <v>0</v>
      </c>
      <c r="AE57" s="1002">
        <f t="shared" si="417"/>
        <v>0</v>
      </c>
      <c r="AG57" s="1002">
        <f t="shared" si="417"/>
        <v>0</v>
      </c>
      <c r="AH57" s="1002"/>
      <c r="AI57" s="1002">
        <f>AG57*$C$53</f>
        <v>0</v>
      </c>
      <c r="AJ57" s="1002"/>
      <c r="AK57" s="1002">
        <f>AI57*$C$53</f>
        <v>0</v>
      </c>
      <c r="AM57" s="1002">
        <f t="shared" si="418"/>
        <v>0</v>
      </c>
      <c r="AO57" s="1002">
        <f t="shared" si="419"/>
        <v>0</v>
      </c>
      <c r="AQ57" s="1002">
        <f t="shared" si="420"/>
        <v>0</v>
      </c>
      <c r="AS57" s="1002">
        <f t="shared" si="421"/>
        <v>0</v>
      </c>
      <c r="AU57" s="1002">
        <f t="shared" si="422"/>
        <v>0</v>
      </c>
      <c r="AW57" s="1002">
        <f t="shared" si="423"/>
        <v>0</v>
      </c>
      <c r="AY57" s="1002">
        <f t="shared" si="424"/>
        <v>0</v>
      </c>
      <c r="BA57" s="1002">
        <f t="shared" si="425"/>
        <v>0</v>
      </c>
      <c r="BC57" s="1002">
        <f t="shared" si="426"/>
        <v>0</v>
      </c>
      <c r="BE57" s="1002">
        <f t="shared" si="427"/>
        <v>0</v>
      </c>
      <c r="BG57" s="1002">
        <f t="shared" si="428"/>
        <v>0</v>
      </c>
      <c r="BI57" s="1002">
        <f t="shared" si="429"/>
        <v>0</v>
      </c>
      <c r="BK57" s="1002">
        <f t="shared" si="430"/>
        <v>0</v>
      </c>
    </row>
    <row r="58" spans="1:63" s="994" customFormat="1">
      <c r="A58" s="996" t="s">
        <v>882</v>
      </c>
      <c r="B58" s="3"/>
      <c r="C58" s="995"/>
      <c r="D58" s="3"/>
      <c r="E58" s="994">
        <f>SUM(E53:E57)</f>
        <v>30000</v>
      </c>
      <c r="G58" s="994">
        <f>SUM(G53:G57)</f>
        <v>30000</v>
      </c>
      <c r="I58" s="994">
        <f>SUM(I53:I57)</f>
        <v>30000</v>
      </c>
      <c r="K58" s="994">
        <f>SUM(K53:K57)</f>
        <v>30000</v>
      </c>
      <c r="M58" s="994">
        <f>SUM(M53:M57)</f>
        <v>30000</v>
      </c>
      <c r="O58" s="994">
        <f>SUM(O53:O57)</f>
        <v>30000</v>
      </c>
      <c r="Q58" s="994">
        <f>SUM(Q53:Q57)</f>
        <v>30000</v>
      </c>
      <c r="S58" s="994">
        <f>SUM(S53:S57)</f>
        <v>30000</v>
      </c>
      <c r="U58" s="994">
        <f>SUM(U53:U57)</f>
        <v>30000</v>
      </c>
      <c r="W58" s="994">
        <f>SUM(W53:W57)</f>
        <v>30000</v>
      </c>
      <c r="Y58" s="994">
        <f>SUM(Y53:Y57)</f>
        <v>30000</v>
      </c>
      <c r="AA58" s="994">
        <f>SUM(AA53:AA57)</f>
        <v>30000</v>
      </c>
      <c r="AC58" s="994">
        <f>SUM(AC53:AC57)</f>
        <v>30000</v>
      </c>
      <c r="AE58" s="994">
        <f>SUM(AE53:AE57)</f>
        <v>30000</v>
      </c>
      <c r="AG58" s="994">
        <f>SUM(AG53:AG57)</f>
        <v>30000</v>
      </c>
      <c r="AI58" s="994">
        <f t="shared" ref="AI58" si="431">SUM(AI53:AI57)</f>
        <v>30000</v>
      </c>
      <c r="AK58" s="994">
        <f t="shared" ref="AK58" si="432">SUM(AK53:AK57)</f>
        <v>30000</v>
      </c>
      <c r="AM58" s="994">
        <f t="shared" ref="AM58" si="433">SUM(AM53:AM57)</f>
        <v>30000</v>
      </c>
      <c r="AO58" s="994">
        <f t="shared" ref="AO58" si="434">SUM(AO53:AO57)</f>
        <v>30000</v>
      </c>
      <c r="AQ58" s="994">
        <f t="shared" ref="AQ58" si="435">SUM(AQ53:AQ57)</f>
        <v>30000</v>
      </c>
      <c r="AS58" s="994">
        <f t="shared" ref="AS58" si="436">SUM(AS53:AS57)</f>
        <v>30000</v>
      </c>
      <c r="AU58" s="994">
        <f t="shared" ref="AU58" si="437">SUM(AU53:AU57)</f>
        <v>30000</v>
      </c>
      <c r="AW58" s="994">
        <f t="shared" ref="AW58" si="438">SUM(AW53:AW57)</f>
        <v>30000</v>
      </c>
      <c r="AY58" s="994">
        <f t="shared" ref="AY58" si="439">SUM(AY53:AY57)</f>
        <v>30000</v>
      </c>
      <c r="BA58" s="994">
        <f t="shared" ref="BA58" si="440">SUM(BA53:BA57)</f>
        <v>30000</v>
      </c>
      <c r="BC58" s="994">
        <f t="shared" ref="BC58" si="441">SUM(BC53:BC57)</f>
        <v>30000</v>
      </c>
      <c r="BE58" s="994">
        <f t="shared" ref="BE58" si="442">SUM(BE53:BE57)</f>
        <v>30000</v>
      </c>
      <c r="BG58" s="994">
        <f t="shared" ref="BG58" si="443">SUM(BG53:BG57)</f>
        <v>30000</v>
      </c>
      <c r="BI58" s="994">
        <f t="shared" ref="BI58" si="444">SUM(BI53:BI57)</f>
        <v>30000</v>
      </c>
      <c r="BK58" s="994">
        <f t="shared" ref="BK58" si="445">SUM(BK53:BK57)</f>
        <v>30000</v>
      </c>
    </row>
    <row r="59" spans="1:63" s="994" customFormat="1" ht="12.75" customHeight="1">
      <c r="A59" s="996"/>
      <c r="B59" s="3"/>
      <c r="C59" s="995"/>
      <c r="D59" s="3"/>
    </row>
    <row r="60" spans="1:63" s="996" customFormat="1">
      <c r="A60" s="996" t="s">
        <v>887</v>
      </c>
      <c r="C60" s="1003"/>
      <c r="E60" s="996">
        <f>E45-E58</f>
        <v>270452</v>
      </c>
      <c r="G60" s="996">
        <f>G45-G58</f>
        <v>316657.49499999965</v>
      </c>
      <c r="I60" s="996">
        <f>I45-I58</f>
        <v>363636.7960749995</v>
      </c>
      <c r="K60" s="996">
        <f>K45-K58</f>
        <v>411395.90178137459</v>
      </c>
      <c r="M60" s="996">
        <f>M45-M58</f>
        <v>459940.49350856617</v>
      </c>
      <c r="O60" s="996">
        <f>O45-O58</f>
        <v>509275.91120033059</v>
      </c>
      <c r="Q60" s="996">
        <f>Q45-Q58</f>
        <v>559407.12789678108</v>
      </c>
      <c r="S60" s="996">
        <f>S45-S58</f>
        <v>610338.72304771747</v>
      </c>
      <c r="U60" s="996">
        <f>U45-U58</f>
        <v>662074.85454580141</v>
      </c>
      <c r="W60" s="996">
        <f>W45-W58</f>
        <v>714619.22942610225</v>
      </c>
      <c r="Y60" s="996">
        <f>Y45-Y58</f>
        <v>767975.07317649527</v>
      </c>
      <c r="AA60" s="996">
        <f>AA45-AA58</f>
        <v>822145.0976011632</v>
      </c>
      <c r="AC60" s="996">
        <f>AC45-AC58</f>
        <v>877131.46717728302</v>
      </c>
      <c r="AE60" s="996">
        <f>AE45-AE58</f>
        <v>932935.76384256687</v>
      </c>
      <c r="AG60" s="996">
        <f>AG45-AG58</f>
        <v>989558.95014898852</v>
      </c>
      <c r="AI60" s="996">
        <f t="shared" ref="AI60:AK60" si="446">AI45-AI58</f>
        <v>1047001.3307154342</v>
      </c>
      <c r="AK60" s="996">
        <f t="shared" si="446"/>
        <v>1105262.5119094858</v>
      </c>
      <c r="AM60" s="996">
        <f t="shared" ref="AM60" si="447">AM45-AM58</f>
        <v>1164341.3596858038</v>
      </c>
      <c r="AO60" s="996">
        <f t="shared" ref="AO60" si="448">AO45-AO58</f>
        <v>1224235.955505779</v>
      </c>
      <c r="AQ60" s="996">
        <f t="shared" ref="AQ60" si="449">AQ45-AQ58</f>
        <v>1284943.5502602309</v>
      </c>
      <c r="AS60" s="996">
        <f t="shared" ref="AS60" si="450">AS45-AS58</f>
        <v>1346460.5161138801</v>
      </c>
      <c r="AU60" s="996">
        <f t="shared" ref="AU60" si="451">AU45-AU58</f>
        <v>1408782.2961872714</v>
      </c>
      <c r="AW60" s="996">
        <f t="shared" ref="AW60" si="452">AW45-AW58</f>
        <v>1471903.351988466</v>
      </c>
      <c r="AY60" s="996">
        <f t="shared" ref="AY60" si="453">AY45-AY58</f>
        <v>1535817.1085035689</v>
      </c>
      <c r="BA60" s="996">
        <f t="shared" ref="BA60" si="454">BA45-BA58</f>
        <v>1600515.8968515876</v>
      </c>
      <c r="BC60" s="996">
        <f t="shared" ref="BC60" si="455">BC45-BC58</f>
        <v>1665990.8944055471</v>
      </c>
      <c r="BE60" s="996">
        <f t="shared" ref="BE60" si="456">BE45-BE58</f>
        <v>1732232.0622779983</v>
      </c>
      <c r="BG60" s="996">
        <f t="shared" ref="BG60" si="457">BG45-BG58</f>
        <v>1799228.0800651922</v>
      </c>
      <c r="BI60" s="996">
        <f t="shared" ref="BI60" si="458">BI45-BI58</f>
        <v>1866966.2777401246</v>
      </c>
      <c r="BK60" s="996">
        <f t="shared" ref="BK60" si="459">BK45-BK58</f>
        <v>1935432.5645804969</v>
      </c>
    </row>
    <row r="61" spans="1:63" s="994" customFormat="1" ht="8.25" customHeight="1">
      <c r="A61" s="3"/>
      <c r="B61" s="3"/>
      <c r="C61" s="995"/>
      <c r="D61" s="3"/>
    </row>
    <row r="62" spans="1:63" s="996" customFormat="1">
      <c r="A62" s="996" t="s">
        <v>886</v>
      </c>
      <c r="C62" s="993">
        <v>0.5</v>
      </c>
      <c r="E62" s="998">
        <f>E60*$C$62</f>
        <v>135226</v>
      </c>
      <c r="G62" s="996">
        <f>G60*$C$62</f>
        <v>158328.74749999982</v>
      </c>
      <c r="I62" s="996">
        <f>I60*$C$62</f>
        <v>181818.39803749975</v>
      </c>
      <c r="K62" s="996">
        <f>K60*$C$62</f>
        <v>205697.95089068729</v>
      </c>
      <c r="M62" s="996">
        <f>M60*$C$62</f>
        <v>229970.24675428309</v>
      </c>
      <c r="O62" s="996">
        <f>O60*$C$62</f>
        <v>254637.9556001653</v>
      </c>
      <c r="Q62" s="996">
        <f>Q60*$C$62</f>
        <v>279703.56394839054</v>
      </c>
      <c r="S62" s="996">
        <f>S60*$C$62</f>
        <v>305169.36152385874</v>
      </c>
      <c r="U62" s="996">
        <f>U60</f>
        <v>662074.85454580141</v>
      </c>
      <c r="W62" s="996">
        <f t="shared" ref="W62" si="460">W60</f>
        <v>714619.22942610225</v>
      </c>
      <c r="Y62" s="996">
        <f t="shared" ref="Y62" si="461">Y60</f>
        <v>767975.07317649527</v>
      </c>
      <c r="AA62" s="996">
        <f>[5]Application!AO625-SUM('[5]15 Year Pro Forma'!E62:Y62)</f>
        <v>764323.61859671678</v>
      </c>
      <c r="AC62" s="996">
        <v>0</v>
      </c>
      <c r="AE62" s="996">
        <v>0</v>
      </c>
      <c r="AG62" s="996">
        <v>0</v>
      </c>
      <c r="AI62" s="996">
        <v>0</v>
      </c>
      <c r="AK62" s="996">
        <v>0</v>
      </c>
      <c r="AM62" s="996">
        <v>0</v>
      </c>
      <c r="AO62" s="996">
        <v>0</v>
      </c>
      <c r="AQ62" s="996">
        <v>0</v>
      </c>
      <c r="AS62" s="996">
        <v>0</v>
      </c>
      <c r="AU62" s="996">
        <v>0</v>
      </c>
      <c r="AW62" s="996">
        <v>0</v>
      </c>
      <c r="AY62" s="996">
        <v>0</v>
      </c>
      <c r="BA62" s="996">
        <v>0</v>
      </c>
      <c r="BC62" s="996">
        <v>0</v>
      </c>
      <c r="BE62" s="996">
        <v>0</v>
      </c>
      <c r="BG62" s="996">
        <v>0</v>
      </c>
      <c r="BI62" s="996">
        <v>0</v>
      </c>
      <c r="BK62" s="996">
        <v>0</v>
      </c>
    </row>
    <row r="63" spans="1:63" s="996" customFormat="1">
      <c r="A63" s="2555" t="s">
        <v>1328</v>
      </c>
      <c r="B63" s="2555"/>
      <c r="C63" s="2555"/>
    </row>
    <row r="64" spans="1:63" s="994" customFormat="1" ht="8.25" customHeight="1">
      <c r="A64" s="3"/>
      <c r="B64" s="3"/>
      <c r="C64" s="995"/>
      <c r="D64" s="3"/>
    </row>
    <row r="65" spans="1:63" s="994" customFormat="1">
      <c r="A65" s="3" t="s">
        <v>890</v>
      </c>
      <c r="B65" s="3"/>
      <c r="C65" s="993">
        <v>0.5</v>
      </c>
      <c r="D65" s="3"/>
    </row>
    <row r="66" spans="1:63" s="996" customFormat="1">
      <c r="A66" s="998"/>
      <c r="B66" s="998"/>
      <c r="C66" s="997"/>
      <c r="E66" s="998">
        <f>$E60*$C$65</f>
        <v>135226</v>
      </c>
      <c r="G66" s="994">
        <f>G60*$C$65</f>
        <v>158328.74749999982</v>
      </c>
      <c r="I66" s="994">
        <f>I60*$C$65</f>
        <v>181818.39803749975</v>
      </c>
      <c r="K66" s="994">
        <f>K60*$C$65</f>
        <v>205697.95089068729</v>
      </c>
      <c r="M66" s="994">
        <f>M60*$C$65</f>
        <v>229970.24675428309</v>
      </c>
      <c r="O66" s="994">
        <f>O60*$C$65</f>
        <v>254637.9556001653</v>
      </c>
      <c r="Q66" s="994">
        <f>Q60*$C$65</f>
        <v>279703.56394839054</v>
      </c>
      <c r="S66" s="994">
        <f>S60*$C$65</f>
        <v>305169.36152385874</v>
      </c>
      <c r="U66" s="994">
        <v>0</v>
      </c>
      <c r="W66" s="994">
        <v>0</v>
      </c>
      <c r="Y66" s="994">
        <v>0</v>
      </c>
      <c r="AA66" s="994">
        <v>0</v>
      </c>
      <c r="AC66" s="994">
        <v>0</v>
      </c>
      <c r="AE66" s="994">
        <v>0</v>
      </c>
      <c r="AG66" s="994">
        <v>0</v>
      </c>
      <c r="AI66" s="994">
        <v>0</v>
      </c>
      <c r="AK66" s="994">
        <v>0</v>
      </c>
      <c r="AM66" s="994">
        <v>0</v>
      </c>
      <c r="AO66" s="994">
        <v>0</v>
      </c>
      <c r="AQ66" s="994">
        <v>0</v>
      </c>
      <c r="AS66" s="994">
        <v>0</v>
      </c>
      <c r="AU66" s="994">
        <v>0</v>
      </c>
      <c r="AW66" s="994">
        <v>0</v>
      </c>
      <c r="AY66" s="994">
        <v>0</v>
      </c>
      <c r="BA66" s="994">
        <v>0</v>
      </c>
      <c r="BC66" s="994">
        <v>0</v>
      </c>
      <c r="BE66" s="994">
        <v>0</v>
      </c>
      <c r="BG66" s="994">
        <v>0</v>
      </c>
      <c r="BI66" s="994">
        <v>0</v>
      </c>
      <c r="BK66" s="994">
        <v>0</v>
      </c>
    </row>
    <row r="67" spans="1:63" s="994" customFormat="1">
      <c r="A67" s="999"/>
      <c r="B67" s="999"/>
      <c r="C67" s="1004"/>
      <c r="E67" s="998"/>
    </row>
    <row r="68" spans="1:63" s="994" customFormat="1">
      <c r="A68" s="999"/>
      <c r="B68" s="999"/>
      <c r="C68" s="1004"/>
      <c r="E68" s="999"/>
      <c r="G68" s="994">
        <f t="shared" ref="G68:AG69" si="462">E68*$C$66</f>
        <v>0</v>
      </c>
      <c r="I68" s="994">
        <f t="shared" si="462"/>
        <v>0</v>
      </c>
      <c r="K68" s="994">
        <f t="shared" si="462"/>
        <v>0</v>
      </c>
      <c r="M68" s="994">
        <f t="shared" si="462"/>
        <v>0</v>
      </c>
      <c r="O68" s="994">
        <f t="shared" si="462"/>
        <v>0</v>
      </c>
      <c r="Q68" s="994">
        <f t="shared" si="462"/>
        <v>0</v>
      </c>
      <c r="S68" s="994">
        <f t="shared" si="462"/>
        <v>0</v>
      </c>
      <c r="U68" s="994">
        <f t="shared" si="462"/>
        <v>0</v>
      </c>
      <c r="W68" s="994">
        <f t="shared" si="462"/>
        <v>0</v>
      </c>
      <c r="Y68" s="994">
        <f t="shared" si="462"/>
        <v>0</v>
      </c>
      <c r="AA68" s="994">
        <f t="shared" si="462"/>
        <v>0</v>
      </c>
      <c r="AC68" s="994">
        <f t="shared" si="462"/>
        <v>0</v>
      </c>
      <c r="AE68" s="994">
        <f t="shared" si="462"/>
        <v>0</v>
      </c>
      <c r="AG68" s="994">
        <f t="shared" si="462"/>
        <v>0</v>
      </c>
      <c r="AI68" s="994">
        <f>AG68*$C$66</f>
        <v>0</v>
      </c>
      <c r="AK68" s="994">
        <f>AI68*$C$66</f>
        <v>0</v>
      </c>
      <c r="AM68" s="994">
        <f t="shared" ref="AM68:AM69" si="463">AK68*$C$66</f>
        <v>0</v>
      </c>
      <c r="AO68" s="994">
        <f t="shared" ref="AO68:AO69" si="464">AM68*$C$66</f>
        <v>0</v>
      </c>
      <c r="AQ68" s="994">
        <f t="shared" ref="AQ68:AQ69" si="465">AO68*$C$66</f>
        <v>0</v>
      </c>
      <c r="AS68" s="994">
        <f t="shared" ref="AS68:AS69" si="466">AQ68*$C$66</f>
        <v>0</v>
      </c>
      <c r="AU68" s="994">
        <f t="shared" ref="AU68:AU69" si="467">AS68*$C$66</f>
        <v>0</v>
      </c>
      <c r="AW68" s="994">
        <f t="shared" ref="AW68:AW69" si="468">AU68*$C$66</f>
        <v>0</v>
      </c>
      <c r="AY68" s="994">
        <f t="shared" ref="AY68:AY69" si="469">AW68*$C$66</f>
        <v>0</v>
      </c>
      <c r="BA68" s="994">
        <f t="shared" ref="BA68:BA69" si="470">AY68*$C$66</f>
        <v>0</v>
      </c>
      <c r="BC68" s="994">
        <f t="shared" ref="BC68:BC69" si="471">BA68*$C$66</f>
        <v>0</v>
      </c>
      <c r="BE68" s="994">
        <f t="shared" ref="BE68:BE69" si="472">BC68*$C$66</f>
        <v>0</v>
      </c>
      <c r="BG68" s="994">
        <f t="shared" ref="BG68:BG69" si="473">BE68*$C$66</f>
        <v>0</v>
      </c>
      <c r="BI68" s="994">
        <f t="shared" ref="BI68:BI69" si="474">BG68*$C$66</f>
        <v>0</v>
      </c>
      <c r="BK68" s="994">
        <f t="shared" ref="BK68:BK69" si="475">BI68*$C$66</f>
        <v>0</v>
      </c>
    </row>
    <row r="69" spans="1:63" s="994" customFormat="1">
      <c r="A69" s="999"/>
      <c r="B69" s="999"/>
      <c r="C69" s="1004"/>
      <c r="E69" s="1001"/>
      <c r="G69" s="1002">
        <f t="shared" si="462"/>
        <v>0</v>
      </c>
      <c r="I69" s="1002">
        <f t="shared" si="462"/>
        <v>0</v>
      </c>
      <c r="K69" s="1002">
        <f t="shared" si="462"/>
        <v>0</v>
      </c>
      <c r="M69" s="1002">
        <f t="shared" si="462"/>
        <v>0</v>
      </c>
      <c r="O69" s="1002">
        <f t="shared" si="462"/>
        <v>0</v>
      </c>
      <c r="Q69" s="1002">
        <f t="shared" si="462"/>
        <v>0</v>
      </c>
      <c r="S69" s="1002">
        <f t="shared" si="462"/>
        <v>0</v>
      </c>
      <c r="U69" s="1002">
        <f t="shared" si="462"/>
        <v>0</v>
      </c>
      <c r="W69" s="1002">
        <f t="shared" si="462"/>
        <v>0</v>
      </c>
      <c r="Y69" s="1002">
        <f t="shared" si="462"/>
        <v>0</v>
      </c>
      <c r="AA69" s="1002">
        <f t="shared" si="462"/>
        <v>0</v>
      </c>
      <c r="AC69" s="1002">
        <f t="shared" si="462"/>
        <v>0</v>
      </c>
      <c r="AE69" s="1002">
        <f t="shared" si="462"/>
        <v>0</v>
      </c>
      <c r="AG69" s="1002">
        <f t="shared" si="462"/>
        <v>0</v>
      </c>
      <c r="AH69" s="1002"/>
      <c r="AI69" s="1002">
        <f>AG69*$C$66</f>
        <v>0</v>
      </c>
      <c r="AJ69" s="1002"/>
      <c r="AK69" s="1002">
        <f>AI69*$C$66</f>
        <v>0</v>
      </c>
      <c r="AM69" s="1002">
        <f t="shared" si="463"/>
        <v>0</v>
      </c>
      <c r="AO69" s="1002">
        <f t="shared" si="464"/>
        <v>0</v>
      </c>
      <c r="AQ69" s="1002">
        <f t="shared" si="465"/>
        <v>0</v>
      </c>
      <c r="AS69" s="1002">
        <f t="shared" si="466"/>
        <v>0</v>
      </c>
      <c r="AU69" s="1002">
        <f t="shared" si="467"/>
        <v>0</v>
      </c>
      <c r="AW69" s="1002">
        <f t="shared" si="468"/>
        <v>0</v>
      </c>
      <c r="AY69" s="1002">
        <f t="shared" si="469"/>
        <v>0</v>
      </c>
      <c r="BA69" s="1002">
        <f t="shared" si="470"/>
        <v>0</v>
      </c>
      <c r="BC69" s="1002">
        <f t="shared" si="471"/>
        <v>0</v>
      </c>
      <c r="BE69" s="1002">
        <f t="shared" si="472"/>
        <v>0</v>
      </c>
      <c r="BG69" s="1002">
        <f t="shared" si="473"/>
        <v>0</v>
      </c>
      <c r="BI69" s="1002">
        <f t="shared" si="474"/>
        <v>0</v>
      </c>
      <c r="BK69" s="1002">
        <f t="shared" si="475"/>
        <v>0</v>
      </c>
    </row>
    <row r="70" spans="1:63" s="994" customFormat="1">
      <c r="A70" s="996" t="s">
        <v>882</v>
      </c>
      <c r="C70" s="1004"/>
      <c r="E70" s="994">
        <f>SUM(E66:E69)</f>
        <v>135226</v>
      </c>
      <c r="G70" s="994">
        <f>SUM(G66:G69)</f>
        <v>158328.74749999982</v>
      </c>
      <c r="I70" s="994">
        <f>SUM(I66:I69)</f>
        <v>181818.39803749975</v>
      </c>
      <c r="K70" s="994">
        <f>SUM(K66:K69)</f>
        <v>205697.95089068729</v>
      </c>
      <c r="M70" s="994">
        <f>SUM(M66:M69)</f>
        <v>229970.24675428309</v>
      </c>
      <c r="O70" s="994">
        <f>SUM(O66:O69)</f>
        <v>254637.9556001653</v>
      </c>
      <c r="Q70" s="994">
        <f>SUM(Q66:Q69)</f>
        <v>279703.56394839054</v>
      </c>
      <c r="S70" s="994">
        <f>SUM(S66:S69)</f>
        <v>305169.36152385874</v>
      </c>
      <c r="U70" s="994">
        <f>SUM(U66:U69)</f>
        <v>0</v>
      </c>
      <c r="W70" s="994">
        <f>SUM(W66:W69)</f>
        <v>0</v>
      </c>
      <c r="Y70" s="994">
        <f>SUM(Y66:Y69)</f>
        <v>0</v>
      </c>
      <c r="AA70" s="994">
        <f>SUM(AA66:AA69)</f>
        <v>0</v>
      </c>
      <c r="AC70" s="994">
        <f>SUM(AC66:AC69)</f>
        <v>0</v>
      </c>
      <c r="AE70" s="994">
        <f>SUM(AE66:AE69)</f>
        <v>0</v>
      </c>
      <c r="AG70" s="994">
        <f>SUM(AG66:AG69)</f>
        <v>0</v>
      </c>
      <c r="AI70" s="994">
        <f t="shared" ref="AI70" si="476">SUM(AI66:AI69)</f>
        <v>0</v>
      </c>
      <c r="AK70" s="994">
        <f t="shared" ref="AK70" si="477">SUM(AK66:AK69)</f>
        <v>0</v>
      </c>
      <c r="AM70" s="994">
        <f t="shared" ref="AM70" si="478">SUM(AM66:AM69)</f>
        <v>0</v>
      </c>
      <c r="AO70" s="994">
        <f t="shared" ref="AO70" si="479">SUM(AO66:AO69)</f>
        <v>0</v>
      </c>
      <c r="AQ70" s="994">
        <f t="shared" ref="AQ70" si="480">SUM(AQ66:AQ69)</f>
        <v>0</v>
      </c>
      <c r="AS70" s="994">
        <f t="shared" ref="AS70" si="481">SUM(AS66:AS69)</f>
        <v>0</v>
      </c>
      <c r="AU70" s="994">
        <f t="shared" ref="AU70" si="482">SUM(AU66:AU69)</f>
        <v>0</v>
      </c>
      <c r="AW70" s="994">
        <f t="shared" ref="AW70" si="483">SUM(AW66:AW69)</f>
        <v>0</v>
      </c>
      <c r="AY70" s="994">
        <f t="shared" ref="AY70" si="484">SUM(AY66:AY69)</f>
        <v>0</v>
      </c>
      <c r="BA70" s="994">
        <f t="shared" ref="BA70" si="485">SUM(BA66:BA69)</f>
        <v>0</v>
      </c>
      <c r="BC70" s="994">
        <f t="shared" ref="BC70" si="486">SUM(BC66:BC69)</f>
        <v>0</v>
      </c>
      <c r="BE70" s="994">
        <f t="shared" ref="BE70" si="487">SUM(BE66:BE69)</f>
        <v>0</v>
      </c>
      <c r="BG70" s="994">
        <f t="shared" ref="BG70" si="488">SUM(BG66:BG69)</f>
        <v>0</v>
      </c>
      <c r="BI70" s="994">
        <f t="shared" ref="BI70" si="489">SUM(BI66:BI69)</f>
        <v>0</v>
      </c>
      <c r="BK70" s="994">
        <f t="shared" ref="BK70" si="490">SUM(BK66:BK69)</f>
        <v>0</v>
      </c>
    </row>
    <row r="71" spans="1:63" s="994" customFormat="1">
      <c r="A71" s="996"/>
      <c r="C71" s="1004"/>
    </row>
    <row r="72" spans="1:63" s="994" customFormat="1">
      <c r="A72" s="996" t="s">
        <v>1985</v>
      </c>
      <c r="C72" s="1004"/>
      <c r="E72" s="996">
        <f>E60-E62-E70</f>
        <v>0</v>
      </c>
      <c r="G72" s="996">
        <f>G60-G62-G70</f>
        <v>0</v>
      </c>
      <c r="I72" s="996">
        <f>I60-I62-I70</f>
        <v>0</v>
      </c>
      <c r="K72" s="996">
        <f>K60-K62-K70</f>
        <v>0</v>
      </c>
      <c r="M72" s="996">
        <f>M60-M62-M70</f>
        <v>0</v>
      </c>
      <c r="O72" s="996">
        <f>O60-O62-O70</f>
        <v>0</v>
      </c>
      <c r="Q72" s="996">
        <f>Q60-Q62-Q70</f>
        <v>0</v>
      </c>
      <c r="S72" s="996">
        <f>S60-S62-S70</f>
        <v>0</v>
      </c>
      <c r="U72" s="996">
        <f>U60-U62-U70</f>
        <v>0</v>
      </c>
      <c r="W72" s="996">
        <f>W60-W62-W70</f>
        <v>0</v>
      </c>
      <c r="Y72" s="996">
        <f>Y60-Y62-Y70</f>
        <v>0</v>
      </c>
      <c r="AA72" s="996">
        <f>AA60-AA62-AA70</f>
        <v>57821.479004446417</v>
      </c>
      <c r="AC72" s="996">
        <f>AC60-AC62-AC70</f>
        <v>877131.46717728302</v>
      </c>
      <c r="AE72" s="996">
        <f>AE60-AE62-AE70</f>
        <v>932935.76384256687</v>
      </c>
      <c r="AG72" s="996">
        <f>AG60-AG62-AG70</f>
        <v>989558.95014898852</v>
      </c>
      <c r="AH72" s="996"/>
      <c r="AI72" s="996">
        <f t="shared" ref="AI72:AK72" si="491">AI60-AI62-AI70</f>
        <v>1047001.3307154342</v>
      </c>
      <c r="AJ72" s="996"/>
      <c r="AK72" s="996">
        <f t="shared" si="491"/>
        <v>1105262.5119094858</v>
      </c>
      <c r="AM72" s="996">
        <f t="shared" ref="AM72" si="492">AM60-AM62-AM70</f>
        <v>1164341.3596858038</v>
      </c>
      <c r="AO72" s="996">
        <f t="shared" ref="AO72" si="493">AO60-AO62-AO70</f>
        <v>1224235.955505779</v>
      </c>
      <c r="AQ72" s="996">
        <f t="shared" ref="AQ72" si="494">AQ60-AQ62-AQ70</f>
        <v>1284943.5502602309</v>
      </c>
      <c r="AS72" s="996">
        <f t="shared" ref="AS72" si="495">AS60-AS62-AS70</f>
        <v>1346460.5161138801</v>
      </c>
      <c r="AU72" s="996">
        <f t="shared" ref="AU72" si="496">AU60-AU62-AU70</f>
        <v>1408782.2961872714</v>
      </c>
      <c r="AW72" s="996">
        <f t="shared" ref="AW72" si="497">AW60-AW62-AW70</f>
        <v>1471903.351988466</v>
      </c>
      <c r="AY72" s="996">
        <f t="shared" ref="AY72" si="498">AY60-AY62-AY70</f>
        <v>1535817.1085035689</v>
      </c>
      <c r="BA72" s="996">
        <f t="shared" ref="BA72" si="499">BA60-BA62-BA70</f>
        <v>1600515.8968515876</v>
      </c>
      <c r="BC72" s="996">
        <f t="shared" ref="BC72" si="500">BC60-BC62-BC70</f>
        <v>1665990.8944055471</v>
      </c>
      <c r="BE72" s="996">
        <f t="shared" ref="BE72" si="501">BE60-BE62-BE70</f>
        <v>1732232.0622779983</v>
      </c>
      <c r="BG72" s="996">
        <f t="shared" ref="BG72" si="502">BG60-BG62-BG70</f>
        <v>1799228.0800651922</v>
      </c>
      <c r="BI72" s="996">
        <f t="shared" ref="BI72" si="503">BI60-BI62-BI70</f>
        <v>1866966.2777401246</v>
      </c>
      <c r="BK72" s="996">
        <f t="shared" ref="BK72" si="504">BK60-BK62-BK70</f>
        <v>1935432.5645804969</v>
      </c>
    </row>
    <row r="73" spans="1:63" s="994" customFormat="1">
      <c r="A73" s="564"/>
      <c r="C73" s="1004"/>
    </row>
    <row r="74" spans="1:63" s="233" customFormat="1">
      <c r="A74" s="564"/>
      <c r="C74" s="192"/>
    </row>
    <row r="75" spans="1:63" s="233" customFormat="1">
      <c r="A75" s="994" t="s">
        <v>1984</v>
      </c>
      <c r="C75" s="192"/>
    </row>
    <row r="76" spans="1:63" s="233" customFormat="1">
      <c r="C76" s="192"/>
    </row>
    <row r="77" spans="1:63" s="250" customFormat="1" ht="30" customHeight="1">
      <c r="A77" s="2553" t="s">
        <v>1983</v>
      </c>
      <c r="B77" s="2554"/>
      <c r="C77" s="2554"/>
      <c r="D77" s="2554"/>
      <c r="E77" s="2554"/>
      <c r="F77" s="2554"/>
      <c r="G77" s="2554"/>
      <c r="H77" s="2554"/>
      <c r="I77" s="2554"/>
      <c r="J77" s="2554"/>
      <c r="K77" s="2554"/>
      <c r="L77" s="2554"/>
      <c r="M77" s="2554"/>
      <c r="N77" s="2554"/>
      <c r="O77" s="2554"/>
      <c r="P77" s="2554"/>
      <c r="Q77" s="2554"/>
      <c r="R77" s="2554"/>
      <c r="S77" s="2554"/>
      <c r="T77" s="2554"/>
      <c r="U77" s="2554"/>
      <c r="V77" s="2554"/>
      <c r="W77" s="2554"/>
      <c r="X77" s="2554"/>
      <c r="Y77" s="2554"/>
      <c r="Z77" s="2554"/>
      <c r="AA77" s="2554"/>
      <c r="AB77" s="2554"/>
      <c r="AC77" s="2554"/>
      <c r="AD77" s="2554"/>
      <c r="AE77" s="2554"/>
      <c r="AF77" s="2554"/>
      <c r="AG77" s="2554"/>
      <c r="AH77" s="1260"/>
      <c r="AJ77" s="1260"/>
    </row>
    <row r="78" spans="1:63" s="230" customFormat="1" hidden="1">
      <c r="C78" s="232"/>
    </row>
    <row r="79" spans="1:63" s="230" customFormat="1" hidden="1">
      <c r="C79" s="232"/>
    </row>
    <row r="80" spans="1:63"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phoneticPr fontId="173" type="noConversion"/>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2466680</v>
      </c>
      <c r="C5" s="286">
        <f>'Sources and Uses Budget'!$C4</f>
        <v>2466680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110640</v>
      </c>
      <c r="C7" s="286">
        <f>'Sources and Uses Budget'!$C6</f>
        <v>110640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2577320</v>
      </c>
      <c r="C9" s="290">
        <f>SUM(C5:C8)</f>
        <v>2577320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2577320</v>
      </c>
      <c r="C13" s="290">
        <f>SUM(C9+C12)</f>
        <v>2577320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2"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10192000</v>
      </c>
      <c r="C30" s="286">
        <f>'Sources and Uses Budget'!$C29</f>
        <v>10192000</v>
      </c>
      <c r="D30" s="290">
        <f t="shared" si="0"/>
        <v>0</v>
      </c>
      <c r="E30" s="288"/>
      <c r="F30" s="287"/>
      <c r="G30" s="384"/>
    </row>
    <row r="31" spans="1:7" s="381" customFormat="1">
      <c r="A31" s="145" t="s">
        <v>609</v>
      </c>
      <c r="B31" s="286">
        <f>'Sources and Uses Budget'!$C30</f>
        <v>27114855</v>
      </c>
      <c r="C31" s="286">
        <f>'Sources and Uses Budget'!$C30</f>
        <v>27114855</v>
      </c>
      <c r="D31" s="290">
        <f t="shared" si="0"/>
        <v>0</v>
      </c>
      <c r="E31" s="288"/>
      <c r="F31" s="287"/>
      <c r="G31" s="384"/>
    </row>
    <row r="32" spans="1:7" s="381" customFormat="1">
      <c r="A32" s="145" t="s">
        <v>610</v>
      </c>
      <c r="B32" s="286">
        <f>'Sources and Uses Budget'!$C31</f>
        <v>2238411</v>
      </c>
      <c r="C32" s="286">
        <f>'Sources and Uses Budget'!$C31</f>
        <v>2238411</v>
      </c>
      <c r="D32" s="290">
        <f t="shared" si="0"/>
        <v>0</v>
      </c>
      <c r="E32" s="288"/>
      <c r="F32" s="287"/>
      <c r="G32" s="384"/>
    </row>
    <row r="33" spans="1:7" s="381" customFormat="1">
      <c r="A33" s="145" t="s">
        <v>138</v>
      </c>
      <c r="B33" s="286">
        <f>'Sources and Uses Budget'!$C32</f>
        <v>500000</v>
      </c>
      <c r="C33" s="286">
        <f>'Sources and Uses Budget'!$C32</f>
        <v>500000</v>
      </c>
      <c r="D33" s="290">
        <f t="shared" si="0"/>
        <v>0</v>
      </c>
      <c r="E33" s="288"/>
      <c r="F33" s="287"/>
      <c r="G33" s="384"/>
    </row>
    <row r="34" spans="1:7" s="381" customFormat="1">
      <c r="A34" s="145" t="s">
        <v>139</v>
      </c>
      <c r="B34" s="286">
        <f>'Sources and Uses Budget'!$C33</f>
        <v>1865343</v>
      </c>
      <c r="C34" s="286">
        <f>'Sources and Uses Budget'!$C33</f>
        <v>1865343</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350000</v>
      </c>
      <c r="C36" s="286">
        <f>'Sources and Uses Budget'!$C35</f>
        <v>350000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(P&amp;P Bond)</v>
      </c>
      <c r="B38" s="286">
        <f>'Sources and Uses Budget'!$C37</f>
        <v>450000</v>
      </c>
      <c r="C38" s="286">
        <f>'Sources and Uses Budget'!$C37</f>
        <v>450000</v>
      </c>
      <c r="D38" s="290">
        <f t="shared" si="0"/>
        <v>0</v>
      </c>
      <c r="E38" s="288"/>
      <c r="F38" s="287"/>
      <c r="G38" s="384"/>
    </row>
    <row r="39" spans="1:7" s="381" customFormat="1">
      <c r="A39" s="291" t="s">
        <v>144</v>
      </c>
      <c r="B39" s="290">
        <f>SUM(B30:B38)</f>
        <v>42710609</v>
      </c>
      <c r="C39" s="290">
        <f>SUM(C30:C38)</f>
        <v>42710609</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500000</v>
      </c>
      <c r="C41" s="286">
        <f>'Sources and Uses Budget'!$C40</f>
        <v>500000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500000</v>
      </c>
      <c r="C43" s="290">
        <f>SUM(C41:C42)</f>
        <v>500000</v>
      </c>
      <c r="D43" s="290">
        <f t="shared" si="0"/>
        <v>0</v>
      </c>
      <c r="E43" s="288"/>
      <c r="F43" s="287"/>
      <c r="G43" s="384"/>
    </row>
    <row r="44" spans="1:7" s="381" customFormat="1">
      <c r="A44" s="291" t="s">
        <v>149</v>
      </c>
      <c r="B44" s="286">
        <f>'Sources and Uses Budget'!$C43</f>
        <v>1000000</v>
      </c>
      <c r="C44" s="286">
        <f>'Sources and Uses Budget'!$C43</f>
        <v>1000000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3500000</v>
      </c>
      <c r="C46" s="286">
        <f>'Sources and Uses Budget'!$C45</f>
        <v>3500000</v>
      </c>
      <c r="D46" s="290">
        <f t="shared" si="0"/>
        <v>0</v>
      </c>
      <c r="E46" s="288"/>
      <c r="F46" s="287"/>
      <c r="G46" s="384"/>
    </row>
    <row r="47" spans="1:7" s="381" customFormat="1">
      <c r="A47" s="145" t="s">
        <v>152</v>
      </c>
      <c r="B47" s="286">
        <f>'Sources and Uses Budget'!$C46</f>
        <v>505444</v>
      </c>
      <c r="C47" s="286">
        <f>'Sources and Uses Budget'!$C46</f>
        <v>505444</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100000</v>
      </c>
      <c r="C52" s="286">
        <f>'Sources and Uses Budget'!$C51</f>
        <v>100000</v>
      </c>
      <c r="D52" s="290">
        <f t="shared" si="0"/>
        <v>0</v>
      </c>
      <c r="E52" s="288"/>
      <c r="F52" s="287"/>
      <c r="G52" s="384"/>
    </row>
    <row r="53" spans="1:7" s="381" customFormat="1">
      <c r="A53" s="145" t="s">
        <v>156</v>
      </c>
      <c r="B53" s="286">
        <f>'Sources and Uses Budget'!$C52</f>
        <v>85000</v>
      </c>
      <c r="C53" s="286">
        <f>'Sources and Uses Budget'!$C52</f>
        <v>85000</v>
      </c>
      <c r="D53" s="290">
        <f t="shared" si="0"/>
        <v>0</v>
      </c>
      <c r="E53" s="288"/>
      <c r="F53" s="287"/>
      <c r="G53" s="384"/>
    </row>
    <row r="54" spans="1:7" s="381" customFormat="1">
      <c r="A54" s="155" t="str">
        <f>'Sources and Uses Budget'!A53</f>
        <v>Other: (Construction Monitoring)</v>
      </c>
      <c r="B54" s="286">
        <f>'Sources and Uses Budget'!$C53</f>
        <v>91000</v>
      </c>
      <c r="C54" s="286">
        <f>'Sources and Uses Budget'!$C53</f>
        <v>91000</v>
      </c>
      <c r="D54" s="290">
        <f t="shared" si="0"/>
        <v>0</v>
      </c>
      <c r="E54" s="288"/>
      <c r="F54" s="287"/>
      <c r="G54" s="384"/>
    </row>
    <row r="55" spans="1:7" s="382" customFormat="1">
      <c r="A55" s="291" t="s">
        <v>158</v>
      </c>
      <c r="B55" s="293">
        <f>SUM(B46:B54)</f>
        <v>4381444</v>
      </c>
      <c r="C55" s="293">
        <f>SUM(C46:C54)</f>
        <v>4381444</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404250</v>
      </c>
      <c r="C57" s="286">
        <f>'Sources and Uses Budget'!$C56</f>
        <v>404250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3" t="str">
        <f>'Sources and Uses Budget'!A61</f>
        <v>Other: (Bond Fees)</v>
      </c>
      <c r="B62" s="286">
        <f>'Sources and Uses Budget'!$C61</f>
        <v>130250</v>
      </c>
      <c r="C62" s="286">
        <f>'Sources and Uses Budget'!$C61</f>
        <v>130250</v>
      </c>
      <c r="D62" s="290">
        <f t="shared" si="0"/>
        <v>0</v>
      </c>
      <c r="E62" s="288"/>
      <c r="F62" s="287"/>
      <c r="G62" s="384"/>
    </row>
    <row r="63" spans="1:7" s="381" customFormat="1" ht="13.7" customHeight="1">
      <c r="A63" s="291" t="s">
        <v>303</v>
      </c>
      <c r="B63" s="290">
        <f>SUM(B57:B62)</f>
        <v>534500</v>
      </c>
      <c r="C63" s="290">
        <f>SUM(C57:C62)</f>
        <v>534500</v>
      </c>
      <c r="D63" s="290">
        <f t="shared" si="0"/>
        <v>0</v>
      </c>
      <c r="E63" s="288"/>
      <c r="F63" s="287"/>
      <c r="G63" s="384"/>
    </row>
    <row r="64" spans="1:7" s="381" customFormat="1">
      <c r="A64" s="294" t="s">
        <v>304</v>
      </c>
      <c r="B64" s="290">
        <f>SUM(B9+B12+B14+B15+B17+B26+B28+B39+B43+B44+B55+B63)</f>
        <v>51703873</v>
      </c>
      <c r="C64" s="290">
        <f>SUM(C9+C12+C14+C15+C17+C26+C28+C39+C43+C44+C55+C63)</f>
        <v>51703873</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140000</v>
      </c>
      <c r="C66" s="286">
        <f>'Sources and Uses Budget'!$C65</f>
        <v>140000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(Developer Legal)</v>
      </c>
      <c r="B70" s="286">
        <f>'Sources and Uses Budget'!$C69</f>
        <v>329178</v>
      </c>
      <c r="C70" s="286">
        <f>'Sources and Uses Budget'!$C69</f>
        <v>329178</v>
      </c>
      <c r="D70" s="290">
        <f t="shared" si="0"/>
        <v>0</v>
      </c>
      <c r="E70" s="288"/>
      <c r="F70" s="287"/>
      <c r="G70" s="384"/>
    </row>
    <row r="71" spans="1:7" s="381" customFormat="1">
      <c r="A71" s="149" t="s">
        <v>1827</v>
      </c>
      <c r="B71" s="290">
        <f>SUM(B66:B70)</f>
        <v>469178</v>
      </c>
      <c r="C71" s="290">
        <f>SUM(C66:C70)</f>
        <v>469178</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75000</v>
      </c>
      <c r="C73" s="286">
        <f>'Sources and Uses Budget'!$C72</f>
        <v>75000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751974</v>
      </c>
      <c r="C76" s="286">
        <f>'Sources and Uses Budget'!$C75</f>
        <v>751974</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826974</v>
      </c>
      <c r="C78" s="290">
        <f>SUM(C73:C77)</f>
        <v>826974</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4551336</v>
      </c>
      <c r="C80" s="286">
        <f>'Sources and Uses Budget'!$C79</f>
        <v>4551336</v>
      </c>
      <c r="D80" s="290">
        <f t="shared" si="1"/>
        <v>0</v>
      </c>
      <c r="E80" s="288"/>
      <c r="F80" s="287"/>
      <c r="G80" s="384"/>
    </row>
    <row r="81" spans="1:7" s="381" customFormat="1">
      <c r="A81" s="545" t="s">
        <v>58</v>
      </c>
      <c r="B81" s="286">
        <f>'Sources and Uses Budget'!$C80</f>
        <v>1790000</v>
      </c>
      <c r="C81" s="286">
        <f>'Sources and Uses Budget'!$C80</f>
        <v>1790000</v>
      </c>
      <c r="D81" s="290">
        <f>C81-B81</f>
        <v>0</v>
      </c>
      <c r="E81" s="288"/>
      <c r="F81" s="287"/>
      <c r="G81" s="384"/>
    </row>
    <row r="82" spans="1:7" s="381" customFormat="1">
      <c r="A82" s="291" t="s">
        <v>1353</v>
      </c>
      <c r="B82" s="290">
        <f>SUM(B80:B81)</f>
        <v>6341336</v>
      </c>
      <c r="C82" s="290">
        <f>SUM(C80:C81)</f>
        <v>6341336</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114540</v>
      </c>
      <c r="C84" s="286">
        <f>'Sources and Uses Budget'!$C83</f>
        <v>114540</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4600000</v>
      </c>
      <c r="C86" s="286">
        <f>'Sources and Uses Budget'!$C85</f>
        <v>4600000</v>
      </c>
      <c r="D86" s="290">
        <f t="shared" si="1"/>
        <v>0</v>
      </c>
      <c r="E86" s="288"/>
      <c r="F86" s="287"/>
      <c r="G86" s="384"/>
    </row>
    <row r="87" spans="1:7" s="381" customFormat="1">
      <c r="A87" s="289" t="s">
        <v>794</v>
      </c>
      <c r="B87" s="286">
        <f>'Sources and Uses Budget'!$C86</f>
        <v>300000</v>
      </c>
      <c r="C87" s="286">
        <f>'Sources and Uses Budget'!$C86</f>
        <v>300000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289558</v>
      </c>
      <c r="C89" s="286">
        <f>'Sources and Uses Budget'!$C88</f>
        <v>289558</v>
      </c>
      <c r="D89" s="290">
        <f t="shared" si="1"/>
        <v>0</v>
      </c>
      <c r="E89" s="288"/>
      <c r="F89" s="287"/>
      <c r="G89" s="384"/>
    </row>
    <row r="90" spans="1:7" s="381" customFormat="1">
      <c r="A90" s="289" t="s">
        <v>797</v>
      </c>
      <c r="B90" s="286">
        <f>'Sources and Uses Budget'!$C89</f>
        <v>200000</v>
      </c>
      <c r="C90" s="286">
        <f>'Sources and Uses Budget'!$C89</f>
        <v>200000</v>
      </c>
      <c r="D90" s="290">
        <f t="shared" si="1"/>
        <v>0</v>
      </c>
      <c r="E90" s="288"/>
      <c r="F90" s="287"/>
      <c r="G90" s="384"/>
    </row>
    <row r="91" spans="1:7" s="381" customFormat="1">
      <c r="A91" s="289" t="s">
        <v>798</v>
      </c>
      <c r="B91" s="286">
        <f>'Sources and Uses Budget'!$C90</f>
        <v>0</v>
      </c>
      <c r="C91" s="286">
        <f>'Sources and Uses Budget'!$C90</f>
        <v>0</v>
      </c>
      <c r="D91" s="290">
        <f t="shared" si="1"/>
        <v>0</v>
      </c>
      <c r="E91" s="288"/>
      <c r="F91" s="287"/>
      <c r="G91" s="384"/>
    </row>
    <row r="92" spans="1:7" s="381" customFormat="1">
      <c r="A92" s="289" t="s">
        <v>374</v>
      </c>
      <c r="B92" s="286">
        <f>'Sources and Uses Budget'!$C91</f>
        <v>58236</v>
      </c>
      <c r="C92" s="286">
        <f>'Sources and Uses Budget'!$C91</f>
        <v>58236</v>
      </c>
      <c r="D92" s="290">
        <f t="shared" si="1"/>
        <v>0</v>
      </c>
      <c r="E92" s="288"/>
      <c r="F92" s="287"/>
      <c r="G92" s="384"/>
    </row>
    <row r="93" spans="1:7" s="381" customFormat="1">
      <c r="A93" s="545" t="s">
        <v>1355</v>
      </c>
      <c r="B93" s="286">
        <f>'Sources and Uses Budget'!$C92</f>
        <v>0</v>
      </c>
      <c r="C93" s="286">
        <f>'Sources and Uses Budget'!$C92</f>
        <v>0</v>
      </c>
      <c r="D93" s="290">
        <f t="shared" si="1"/>
        <v>0</v>
      </c>
      <c r="E93" s="288"/>
      <c r="F93" s="287"/>
      <c r="G93" s="384"/>
    </row>
    <row r="94" spans="1:7" s="381" customFormat="1">
      <c r="A94" s="292" t="s">
        <v>34</v>
      </c>
      <c r="B94" s="286">
        <f>'Sources and Uses Budget'!$C93</f>
        <v>5850</v>
      </c>
      <c r="C94" s="286">
        <f>'Sources and Uses Budget'!$C93</f>
        <v>5850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5568184</v>
      </c>
      <c r="C97" s="290">
        <f>SUM(C84:C96)</f>
        <v>5568184</v>
      </c>
      <c r="D97" s="290">
        <f t="shared" si="1"/>
        <v>0</v>
      </c>
      <c r="E97" s="288"/>
      <c r="F97" s="287"/>
      <c r="G97" s="384"/>
    </row>
    <row r="98" spans="1:7" s="381" customFormat="1">
      <c r="A98" s="291" t="s">
        <v>800</v>
      </c>
      <c r="B98" s="290">
        <f>SUM(B64+B71+B78+B82+B97)</f>
        <v>64909545</v>
      </c>
      <c r="C98" s="290">
        <f>SUM(C64+C71+C78+C82+C97)</f>
        <v>64909545</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7500000</v>
      </c>
      <c r="C100" s="286">
        <f>'Sources and Uses Budget'!$C99</f>
        <v>7500000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3"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7500000</v>
      </c>
      <c r="C105" s="290">
        <f>SUM(C100:C104)</f>
        <v>7500000</v>
      </c>
      <c r="D105" s="290">
        <f t="shared" si="1"/>
        <v>0</v>
      </c>
      <c r="E105" s="288"/>
      <c r="F105" s="287"/>
      <c r="G105" s="384"/>
    </row>
    <row r="106" spans="1:7" s="381" customFormat="1">
      <c r="A106" s="291" t="s">
        <v>805</v>
      </c>
      <c r="B106" s="293">
        <f>SUM(B98+B105)</f>
        <v>72409545</v>
      </c>
      <c r="C106" s="293">
        <f>SUM(C98+C105)</f>
        <v>72409545</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1106</v>
      </c>
      <c r="B2" s="1300"/>
      <c r="C2" s="1264"/>
      <c r="D2" s="1264"/>
      <c r="E2" s="1264"/>
      <c r="F2" s="1264"/>
      <c r="G2" s="1264"/>
    </row>
    <row r="3" spans="1:9" s="173" customFormat="1">
      <c r="A3" s="1300" t="s">
        <v>1043</v>
      </c>
      <c r="B3" s="1300"/>
      <c r="C3" s="1264"/>
      <c r="D3" s="1264"/>
      <c r="E3" s="1264"/>
      <c r="F3" s="1264"/>
      <c r="G3" s="1264"/>
      <c r="I3" t="s">
        <v>309</v>
      </c>
    </row>
    <row r="4" spans="1:9">
      <c r="I4" s="3" t="s">
        <v>1107</v>
      </c>
    </row>
    <row r="5" spans="1:9">
      <c r="A5" s="1302" t="s">
        <v>1044</v>
      </c>
      <c r="B5" s="1302"/>
      <c r="C5" s="1264"/>
      <c r="D5" s="1264"/>
      <c r="E5" s="1264"/>
      <c r="F5" s="1264"/>
      <c r="G5" s="1264"/>
      <c r="I5" s="3" t="s">
        <v>1108</v>
      </c>
    </row>
    <row r="6" spans="1:9">
      <c r="A6" s="1302" t="s">
        <v>846</v>
      </c>
      <c r="B6" s="1302"/>
      <c r="C6" s="1264"/>
      <c r="D6" s="1264"/>
      <c r="E6" s="1264"/>
      <c r="F6" s="1264"/>
      <c r="G6" s="1264"/>
      <c r="I6" t="s">
        <v>601</v>
      </c>
    </row>
    <row r="7" spans="1:9" ht="11.85" customHeight="1"/>
    <row r="8" spans="1:9">
      <c r="A8" s="1300" t="s">
        <v>1203</v>
      </c>
      <c r="B8" s="1300"/>
      <c r="C8" s="1301"/>
      <c r="D8" s="1301"/>
      <c r="E8" s="1301"/>
      <c r="F8" s="1301"/>
      <c r="G8" s="1301"/>
    </row>
    <row r="9" spans="1:9">
      <c r="A9" s="1300" t="s">
        <v>1204</v>
      </c>
      <c r="B9" s="1300"/>
      <c r="C9" s="1301"/>
      <c r="D9" s="1301"/>
      <c r="E9" s="1301"/>
      <c r="F9" s="1301"/>
      <c r="G9" s="1301"/>
    </row>
    <row r="10" spans="1:9">
      <c r="A10" s="174"/>
      <c r="B10" s="174"/>
      <c r="C10" s="172"/>
      <c r="D10" s="172"/>
      <c r="E10" s="172"/>
      <c r="F10" s="172"/>
    </row>
    <row r="11" spans="1:9">
      <c r="A11" s="1283" t="s">
        <v>1206</v>
      </c>
      <c r="B11" s="1283"/>
      <c r="C11" s="1283"/>
      <c r="D11" s="1283"/>
      <c r="E11" s="1283"/>
      <c r="F11" s="1283"/>
      <c r="G11" s="1283"/>
    </row>
    <row r="12" spans="1:9">
      <c r="A12" s="172"/>
      <c r="B12" s="172"/>
      <c r="E12" s="2"/>
    </row>
    <row r="13" spans="1:9" ht="13.15" customHeight="1">
      <c r="C13" s="172"/>
      <c r="D13" s="1285" t="s">
        <v>1205</v>
      </c>
      <c r="E13" s="1285"/>
      <c r="F13" s="1285"/>
    </row>
    <row r="14" spans="1:9">
      <c r="C14" s="172"/>
      <c r="D14" s="1285"/>
      <c r="E14" s="1285"/>
      <c r="F14" s="1285"/>
    </row>
    <row r="15" spans="1:9">
      <c r="A15" s="175"/>
      <c r="B15" s="175"/>
      <c r="C15" s="175"/>
      <c r="D15" s="1282" t="s">
        <v>1188</v>
      </c>
      <c r="E15" s="1282"/>
      <c r="F15" s="1282"/>
    </row>
    <row r="16" spans="1:9">
      <c r="A16" s="175"/>
      <c r="B16" s="175"/>
      <c r="C16" s="175"/>
      <c r="D16" s="218"/>
    </row>
    <row r="17" spans="1:6" ht="14.25">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286" t="s">
        <v>1190</v>
      </c>
      <c r="E21" s="1286"/>
      <c r="F21" s="1286"/>
    </row>
    <row r="22" spans="1:6" ht="14.25">
      <c r="A22" s="176"/>
      <c r="B22" s="176"/>
      <c r="D22" s="35"/>
    </row>
    <row r="23" spans="1:6" ht="14.25">
      <c r="A23" s="176"/>
      <c r="B23" s="469" t="s">
        <v>309</v>
      </c>
      <c r="D23" s="1262" t="s">
        <v>1191</v>
      </c>
      <c r="E23" s="1262"/>
      <c r="F23" s="1262"/>
    </row>
    <row r="24" spans="1:6" ht="14.25">
      <c r="A24" s="176"/>
      <c r="B24" s="176"/>
      <c r="D24" s="1262"/>
      <c r="E24" s="1262"/>
      <c r="F24" s="1262"/>
    </row>
    <row r="25" spans="1:6"/>
    <row r="26" spans="1:6" ht="14.25">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25">
      <c r="A34" s="176"/>
      <c r="B34" s="176"/>
      <c r="D34" s="220"/>
    </row>
    <row r="35" spans="1:6" ht="14.45" customHeight="1">
      <c r="A35" s="176"/>
      <c r="B35" s="469" t="s">
        <v>309</v>
      </c>
      <c r="D35" s="1262" t="s">
        <v>1194</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1195</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1196</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1197</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1198</v>
      </c>
      <c r="E54" s="1262"/>
      <c r="F54" s="1262"/>
      <c r="G54" s="3"/>
    </row>
    <row r="55" spans="1:7" ht="14.25">
      <c r="A55" s="176"/>
      <c r="B55" s="176"/>
      <c r="C55" s="386"/>
      <c r="D55" s="1262"/>
      <c r="E55" s="1262"/>
      <c r="F55" s="1262"/>
      <c r="G55" s="3"/>
    </row>
    <row r="56" spans="1:7">
      <c r="D56" s="220"/>
    </row>
    <row r="57" spans="1:7" ht="14.25">
      <c r="A57" s="176"/>
      <c r="B57" s="469" t="s">
        <v>309</v>
      </c>
      <c r="D57" s="1262" t="s">
        <v>1199</v>
      </c>
      <c r="E57" s="1262"/>
      <c r="F57" s="1262"/>
    </row>
    <row r="58" spans="1:7">
      <c r="D58" s="1262"/>
      <c r="E58" s="1262"/>
      <c r="F58" s="1262"/>
    </row>
    <row r="59" spans="1:7">
      <c r="D59" s="1262"/>
      <c r="E59" s="1262"/>
      <c r="F59" s="1262"/>
    </row>
    <row r="60" spans="1:7">
      <c r="D60" s="3"/>
    </row>
    <row r="61" spans="1:7" ht="14.25">
      <c r="A61" s="176"/>
      <c r="B61" s="469" t="s">
        <v>309</v>
      </c>
      <c r="D61" s="1262" t="s">
        <v>1200</v>
      </c>
      <c r="E61" s="1262"/>
      <c r="F61" s="1262"/>
    </row>
    <row r="62" spans="1:7">
      <c r="D62" s="1262"/>
      <c r="E62" s="1262"/>
      <c r="F62" s="1262"/>
    </row>
    <row r="63" spans="1:7"/>
    <row r="64" spans="1:7" ht="14.25">
      <c r="A64" s="176"/>
      <c r="B64" s="469" t="s">
        <v>309</v>
      </c>
      <c r="D64" s="1262" t="s">
        <v>1201</v>
      </c>
      <c r="E64" s="1262"/>
      <c r="F64" s="1262"/>
    </row>
    <row r="65" spans="1:7">
      <c r="D65" s="1262"/>
      <c r="E65" s="1262"/>
      <c r="F65" s="1262"/>
    </row>
    <row r="66" spans="1:7">
      <c r="D66" s="1262"/>
      <c r="E66" s="1262"/>
      <c r="F66" s="1262"/>
    </row>
    <row r="67" spans="1:7">
      <c r="D67"/>
    </row>
    <row r="68" spans="1:7" ht="14.25">
      <c r="A68" s="176"/>
      <c r="B68" s="469" t="s">
        <v>309</v>
      </c>
      <c r="D68" s="1262" t="s">
        <v>1202</v>
      </c>
      <c r="E68" s="1262"/>
      <c r="F68" s="1262"/>
    </row>
    <row r="69" spans="1:7">
      <c r="D69" s="1262"/>
      <c r="E69" s="1262"/>
      <c r="F69" s="1262"/>
    </row>
    <row r="70" spans="1:7" ht="14.25">
      <c r="A70" s="176"/>
      <c r="B70" s="176"/>
      <c r="D70" s="35"/>
    </row>
    <row r="71" spans="1:7">
      <c r="A71" s="1283" t="s">
        <v>1109</v>
      </c>
      <c r="B71" s="1283"/>
      <c r="C71" s="1283"/>
      <c r="D71" s="1283"/>
      <c r="E71" s="1283"/>
      <c r="F71" s="1283"/>
      <c r="G71" s="1283"/>
    </row>
    <row r="72" spans="1:7"/>
    <row r="73" spans="1:7">
      <c r="C73" s="177"/>
      <c r="D73" s="1294" t="s">
        <v>1207</v>
      </c>
      <c r="E73" s="1294"/>
      <c r="F73" s="1294"/>
    </row>
    <row r="74" spans="1:7">
      <c r="A74" s="35"/>
      <c r="B74" s="35"/>
      <c r="D74" s="1262" t="s">
        <v>1234</v>
      </c>
      <c r="E74" s="1262"/>
      <c r="F74" s="1262"/>
    </row>
    <row r="75" spans="1:7">
      <c r="A75" s="35"/>
      <c r="B75" s="35"/>
    </row>
    <row r="76" spans="1:7" ht="14.25">
      <c r="A76" s="176"/>
      <c r="B76" s="469" t="s">
        <v>309</v>
      </c>
      <c r="D76" s="1262" t="s">
        <v>1208</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65" t="s">
        <v>1307</v>
      </c>
      <c r="E83" s="1265"/>
      <c r="F83" s="1265"/>
    </row>
    <row r="84" spans="1:6" ht="14.25">
      <c r="A84" s="176"/>
      <c r="B84" s="176"/>
      <c r="D84" s="1265"/>
      <c r="E84" s="1265"/>
      <c r="F84" s="1265"/>
    </row>
    <row r="85" spans="1:6" ht="14.25">
      <c r="A85" s="176"/>
      <c r="B85" s="176"/>
      <c r="D85" s="1265"/>
      <c r="E85" s="1265"/>
      <c r="F85" s="1265"/>
    </row>
    <row r="86" spans="1:6" ht="14.25">
      <c r="A86" s="176"/>
      <c r="B86" s="176"/>
      <c r="D86" s="1265"/>
      <c r="E86" s="1265"/>
      <c r="F86" s="1265"/>
    </row>
    <row r="87" spans="1:6" ht="14.25">
      <c r="A87" s="176"/>
      <c r="B87" s="176"/>
      <c r="D87" s="1265"/>
      <c r="E87" s="1265"/>
      <c r="F87" s="1265"/>
    </row>
    <row r="88" spans="1:6" ht="14.25">
      <c r="A88" s="176"/>
      <c r="B88" s="176"/>
      <c r="D88" s="1265"/>
      <c r="E88" s="1265"/>
      <c r="F88" s="1265"/>
    </row>
    <row r="89" spans="1:6" ht="14.25">
      <c r="A89" s="176"/>
      <c r="B89" s="176"/>
      <c r="D89" s="1265"/>
      <c r="E89" s="1265"/>
      <c r="F89" s="1265"/>
    </row>
    <row r="90" spans="1:6" ht="14.25">
      <c r="A90" s="176"/>
      <c r="B90" s="176"/>
      <c r="D90" s="1265"/>
      <c r="E90" s="1265"/>
      <c r="F90" s="1265"/>
    </row>
    <row r="91" spans="1:6" ht="14.25">
      <c r="A91" s="176"/>
      <c r="B91" s="176"/>
      <c r="D91" s="1265"/>
      <c r="E91" s="1265"/>
      <c r="F91" s="1265"/>
    </row>
    <row r="92" spans="1:6" ht="14.25">
      <c r="A92" s="176"/>
      <c r="B92" s="176"/>
      <c r="D92" s="1265"/>
      <c r="E92" s="1265"/>
      <c r="F92" s="1265"/>
    </row>
    <row r="93" spans="1:6" ht="14.25">
      <c r="A93" s="176"/>
      <c r="B93" s="176"/>
      <c r="D93" s="1265"/>
      <c r="E93" s="1265"/>
      <c r="F93" s="1265"/>
    </row>
    <row r="94" spans="1:6" ht="14.25">
      <c r="A94" s="176"/>
      <c r="B94" s="176"/>
      <c r="D94" s="1265"/>
      <c r="E94" s="1265"/>
      <c r="F94" s="1265"/>
    </row>
    <row r="95" spans="1:6" ht="14.25">
      <c r="A95" s="176"/>
      <c r="B95" s="176"/>
      <c r="D95" s="1265"/>
      <c r="E95" s="1265"/>
      <c r="F95" s="1265"/>
    </row>
    <row r="96" spans="1:6" ht="14.25">
      <c r="A96" s="176"/>
      <c r="B96" s="176"/>
      <c r="D96" s="1265"/>
      <c r="E96" s="1265"/>
      <c r="F96" s="1265"/>
    </row>
    <row r="97" spans="1:11" ht="14.25">
      <c r="A97" s="176"/>
      <c r="B97" s="469" t="s">
        <v>309</v>
      </c>
      <c r="D97" s="1262" t="s">
        <v>1209</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303" t="s">
        <v>1210</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9" t="s">
        <v>309</v>
      </c>
      <c r="C114"/>
      <c r="D114" s="1304" t="s">
        <v>1211</v>
      </c>
      <c r="E114" s="1304"/>
      <c r="F114" s="1304"/>
      <c r="G114"/>
    </row>
    <row r="115" spans="1:7" ht="14.25">
      <c r="A115" s="176"/>
      <c r="B115" s="176"/>
      <c r="C115"/>
      <c r="D115" s="1304"/>
      <c r="E115" s="1304"/>
      <c r="F115" s="1304"/>
      <c r="G115"/>
    </row>
    <row r="116" spans="1:7"/>
    <row r="117" spans="1:7" ht="14.25">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1213</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1321</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65" t="s">
        <v>1214</v>
      </c>
      <c r="E156" s="1265"/>
      <c r="F156" s="1265"/>
      <c r="G156" s="218"/>
    </row>
    <row r="157" spans="1:7" ht="13.7" customHeight="1">
      <c r="A157" s="256"/>
      <c r="B157" s="256"/>
      <c r="C157" s="218"/>
      <c r="D157" s="1265"/>
      <c r="E157" s="1265"/>
      <c r="F157" s="1265"/>
      <c r="G157" s="218"/>
    </row>
    <row r="158" spans="1:7" ht="13.7" customHeight="1">
      <c r="A158" s="256"/>
      <c r="B158" s="256"/>
      <c r="C158" s="218"/>
      <c r="D158" s="218"/>
      <c r="E158" s="218"/>
      <c r="F158" s="218"/>
      <c r="G158" s="218"/>
    </row>
    <row r="159" spans="1:7" ht="13.7" customHeight="1">
      <c r="A159" s="256"/>
      <c r="B159" s="469" t="s">
        <v>309</v>
      </c>
      <c r="C159" s="218"/>
      <c r="D159" s="1265" t="s">
        <v>1215</v>
      </c>
      <c r="E159" s="1265"/>
      <c r="F159" s="1265"/>
      <c r="G159" s="218"/>
    </row>
    <row r="160" spans="1:7" ht="13.7" customHeight="1">
      <c r="A160" s="256"/>
      <c r="B160" s="256"/>
      <c r="C160" s="218"/>
      <c r="D160" s="1265"/>
      <c r="E160" s="1265"/>
      <c r="F160" s="1265"/>
      <c r="G160" s="218"/>
    </row>
    <row r="161" spans="1:7" ht="13.7" customHeight="1">
      <c r="A161" s="256"/>
      <c r="B161" s="256"/>
      <c r="C161" s="218"/>
      <c r="D161" s="1265"/>
      <c r="E161" s="1265"/>
      <c r="F161" s="1265"/>
      <c r="G161" s="218"/>
    </row>
    <row r="162" spans="1:7" ht="13.7" customHeight="1">
      <c r="A162" s="256"/>
      <c r="B162" s="256"/>
      <c r="C162" s="218"/>
      <c r="D162" s="1265"/>
      <c r="E162" s="1265"/>
      <c r="F162" s="1265"/>
      <c r="G162" s="218"/>
    </row>
    <row r="163" spans="1:7" ht="13.7" customHeight="1">
      <c r="D163" s="35"/>
      <c r="E163" s="35"/>
      <c r="F163" s="35"/>
    </row>
    <row r="164" spans="1:7" ht="13.7" customHeight="1">
      <c r="B164" s="469" t="s">
        <v>309</v>
      </c>
      <c r="D164" s="1299" t="s">
        <v>1216</v>
      </c>
      <c r="E164" s="1299"/>
      <c r="F164" s="1299"/>
    </row>
    <row r="165" spans="1:7" ht="13.7" customHeight="1">
      <c r="D165" s="1299"/>
      <c r="E165" s="1299"/>
      <c r="F165" s="1299"/>
    </row>
    <row r="166" spans="1:7" ht="13.7" customHeight="1">
      <c r="D166" s="1299"/>
      <c r="E166" s="1299"/>
      <c r="F166" s="1299"/>
    </row>
    <row r="167" spans="1:7" ht="13.7" customHeight="1">
      <c r="A167" s="13"/>
      <c r="B167" s="13"/>
      <c r="E167" s="35"/>
      <c r="F167" s="35"/>
    </row>
    <row r="168" spans="1:7">
      <c r="A168" s="1283" t="s">
        <v>1110</v>
      </c>
      <c r="B168" s="1283"/>
      <c r="C168" s="1283"/>
      <c r="D168" s="1283"/>
      <c r="E168" s="1283"/>
      <c r="F168" s="1283"/>
      <c r="G168" s="1283"/>
    </row>
    <row r="169" spans="1:7" ht="12" customHeight="1">
      <c r="D169" s="35"/>
      <c r="E169" s="35"/>
      <c r="F169" s="35"/>
    </row>
    <row r="170" spans="1:7">
      <c r="B170" s="1280" t="s">
        <v>450</v>
      </c>
      <c r="C170" s="1280"/>
      <c r="D170" s="1280"/>
      <c r="E170" s="1280"/>
      <c r="F170" s="1280"/>
    </row>
    <row r="171" spans="1:7" ht="12" customHeight="1">
      <c r="A171" s="172"/>
      <c r="B171" s="172"/>
      <c r="C171" s="172"/>
    </row>
    <row r="172" spans="1:7">
      <c r="A172" s="1283" t="s">
        <v>1111</v>
      </c>
      <c r="B172" s="1283"/>
      <c r="C172" s="1283"/>
      <c r="D172" s="1283"/>
      <c r="E172" s="1283"/>
      <c r="F172" s="1283"/>
      <c r="G172" s="1283"/>
    </row>
    <row r="173" spans="1:7" ht="12" customHeight="1">
      <c r="A173" s="2"/>
      <c r="B173" s="2"/>
      <c r="E173" s="2"/>
    </row>
    <row r="174" spans="1:7" ht="13.15" customHeight="1">
      <c r="A174" s="2"/>
      <c r="B174" s="2"/>
      <c r="D174" s="1305" t="s">
        <v>1219</v>
      </c>
      <c r="E174" s="1305"/>
      <c r="F174" s="1305"/>
    </row>
    <row r="175" spans="1:7">
      <c r="A175" s="2"/>
      <c r="B175" s="2"/>
      <c r="D175" s="1305"/>
      <c r="E175" s="1305"/>
      <c r="F175" s="1305"/>
    </row>
    <row r="176" spans="1:7">
      <c r="A176" s="2"/>
      <c r="B176" s="2"/>
      <c r="D176" s="1292" t="s">
        <v>1220</v>
      </c>
      <c r="E176" s="1292"/>
      <c r="F176" s="1292"/>
    </row>
    <row r="177" spans="1:7" ht="12" customHeight="1">
      <c r="A177" s="2"/>
      <c r="B177" s="2"/>
      <c r="E177" s="2"/>
    </row>
    <row r="178" spans="1:7" ht="14.25">
      <c r="A178" s="176"/>
      <c r="B178" s="469" t="s">
        <v>309</v>
      </c>
      <c r="D178" s="1277" t="s">
        <v>1218</v>
      </c>
      <c r="E178" s="1277"/>
      <c r="F178" s="1277"/>
    </row>
    <row r="179" spans="1:7" ht="14.25">
      <c r="A179" s="176"/>
      <c r="B179" s="176"/>
      <c r="D179" s="1277"/>
      <c r="E179" s="1277"/>
      <c r="F179" s="1277"/>
    </row>
    <row r="180" spans="1:7" ht="14.25">
      <c r="A180" s="176"/>
      <c r="B180" s="176"/>
      <c r="D180" s="1277"/>
      <c r="E180" s="1277"/>
      <c r="F180" s="1277"/>
    </row>
    <row r="181" spans="1:7">
      <c r="D181" s="1277"/>
      <c r="E181" s="1277"/>
      <c r="F181" s="1277"/>
    </row>
    <row r="182" spans="1:7">
      <c r="D182" s="220"/>
    </row>
    <row r="183" spans="1:7">
      <c r="D183" s="1298" t="s">
        <v>1127</v>
      </c>
      <c r="E183" s="1298"/>
      <c r="F183" s="1298"/>
    </row>
    <row r="184" spans="1:7">
      <c r="D184" s="1298"/>
      <c r="E184" s="1298"/>
      <c r="F184" s="1298"/>
    </row>
    <row r="185" spans="1:7">
      <c r="D185" s="476"/>
      <c r="E185" s="476"/>
      <c r="F185" s="476"/>
    </row>
    <row r="186" spans="1:7" ht="14.25">
      <c r="A186" s="176"/>
      <c r="B186" s="469" t="s">
        <v>309</v>
      </c>
      <c r="C186" s="386"/>
      <c r="D186" s="1262" t="s">
        <v>1217</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83" t="s">
        <v>1112</v>
      </c>
      <c r="B191" s="1283"/>
      <c r="C191" s="1283"/>
      <c r="D191" s="1283"/>
      <c r="E191" s="1283"/>
      <c r="F191" s="1283"/>
      <c r="G191" s="1283"/>
    </row>
    <row r="192" spans="1:7" ht="12" customHeight="1">
      <c r="D192" s="35"/>
      <c r="E192" s="35"/>
      <c r="F192" s="35"/>
    </row>
    <row r="193" spans="1:6">
      <c r="C193" s="177"/>
      <c r="D193" s="1281" t="s">
        <v>210</v>
      </c>
      <c r="E193" s="1281"/>
      <c r="F193" s="1281"/>
    </row>
    <row r="194" spans="1:6">
      <c r="A194" s="172"/>
      <c r="B194" s="172"/>
      <c r="C194" s="172"/>
      <c r="D194" s="1282" t="s">
        <v>1241</v>
      </c>
      <c r="E194" s="1288"/>
      <c r="F194" s="1288"/>
    </row>
    <row r="195" spans="1:6" ht="12" customHeight="1">
      <c r="A195" s="13"/>
      <c r="B195" s="13"/>
      <c r="C195" s="13"/>
    </row>
    <row r="196" spans="1:6" ht="13.15" customHeight="1">
      <c r="A196" s="13"/>
      <c r="C196" s="13"/>
      <c r="D196" s="1281" t="s">
        <v>556</v>
      </c>
      <c r="E196" s="1281"/>
      <c r="F196" s="1281"/>
    </row>
    <row r="197" spans="1:6" ht="14.25">
      <c r="A197" s="176"/>
      <c r="B197" s="469" t="s">
        <v>309</v>
      </c>
      <c r="D197" s="1262" t="s">
        <v>1235</v>
      </c>
      <c r="E197" s="1262"/>
      <c r="F197" s="1262"/>
    </row>
    <row r="198" spans="1:6" ht="14.25">
      <c r="A198" s="176"/>
      <c r="B198" s="176"/>
      <c r="D198" s="1262"/>
      <c r="E198" s="1262"/>
      <c r="F198" s="1262"/>
    </row>
    <row r="199" spans="1:6"/>
    <row r="200" spans="1:6" ht="14.25">
      <c r="A200" s="176"/>
      <c r="B200" s="469" t="s">
        <v>309</v>
      </c>
      <c r="D200" s="1262" t="s">
        <v>1236</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1237</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1238</v>
      </c>
      <c r="E210" s="1262"/>
      <c r="F210" s="1262"/>
    </row>
    <row r="211" spans="1:7" ht="14.25">
      <c r="A211" s="176"/>
      <c r="B211" s="176"/>
      <c r="D211" s="1262"/>
      <c r="E211" s="1262"/>
      <c r="F211" s="1262"/>
    </row>
    <row r="212" spans="1:7" ht="14.25">
      <c r="A212" s="176"/>
      <c r="B212" s="176"/>
      <c r="D212" s="1280" t="s">
        <v>928</v>
      </c>
      <c r="E212" s="1280"/>
      <c r="F212" s="1280"/>
    </row>
    <row r="213" spans="1:7" ht="14.25">
      <c r="A213" s="176"/>
      <c r="B213" s="176"/>
      <c r="D213" s="35"/>
      <c r="E213" s="35"/>
      <c r="F213" s="35"/>
    </row>
    <row r="214" spans="1:7" ht="14.45" customHeight="1">
      <c r="A214" s="176"/>
      <c r="B214" s="469" t="s">
        <v>309</v>
      </c>
      <c r="D214" s="1262" t="s">
        <v>1240</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1239</v>
      </c>
      <c r="E220" s="1262"/>
      <c r="F220" s="1262"/>
    </row>
    <row r="221" spans="1:7" ht="14.25">
      <c r="A221" s="176"/>
      <c r="B221" s="176"/>
      <c r="D221" s="1262"/>
      <c r="E221" s="1262"/>
      <c r="F221" s="1262"/>
    </row>
    <row r="222" spans="1:7">
      <c r="D222" s="19"/>
    </row>
    <row r="223" spans="1:7">
      <c r="A223" s="1283" t="s">
        <v>1113</v>
      </c>
      <c r="B223" s="1283"/>
      <c r="C223" s="1283"/>
      <c r="D223" s="1283"/>
      <c r="E223" s="1283"/>
      <c r="F223" s="1283"/>
      <c r="G223" s="1283"/>
    </row>
    <row r="224" spans="1:7">
      <c r="D224" s="19"/>
    </row>
    <row r="225" spans="1:6">
      <c r="C225" s="177"/>
      <c r="D225" s="1281" t="s">
        <v>1242</v>
      </c>
      <c r="E225" s="1281"/>
      <c r="F225" s="1281"/>
    </row>
    <row r="226" spans="1:6">
      <c r="A226" s="172"/>
      <c r="B226" s="172"/>
      <c r="C226" s="172"/>
      <c r="D226" s="35"/>
      <c r="E226" s="35"/>
      <c r="F226" s="35"/>
    </row>
    <row r="227" spans="1:6">
      <c r="A227" s="175"/>
      <c r="B227" s="175"/>
      <c r="C227" s="175"/>
      <c r="D227" s="1281" t="s">
        <v>271</v>
      </c>
      <c r="E227" s="1281"/>
      <c r="F227" s="1281"/>
    </row>
    <row r="228" spans="1:6" ht="14.25">
      <c r="A228" s="176"/>
      <c r="B228" s="469" t="s">
        <v>309</v>
      </c>
      <c r="D228" s="1311" t="s">
        <v>1243</v>
      </c>
      <c r="E228" s="1311"/>
      <c r="F228" s="1311"/>
    </row>
    <row r="229" spans="1:6" ht="14.25">
      <c r="A229" s="176"/>
      <c r="B229" s="176"/>
      <c r="D229" s="1311"/>
      <c r="E229" s="1311"/>
      <c r="F229" s="1311"/>
    </row>
    <row r="230" spans="1:6">
      <c r="D230" s="35"/>
      <c r="E230" s="35"/>
      <c r="F230" s="35"/>
    </row>
    <row r="231" spans="1:6" ht="14.45" customHeight="1">
      <c r="A231" s="176"/>
      <c r="B231" s="469" t="s">
        <v>309</v>
      </c>
      <c r="D231" s="1262" t="s">
        <v>1244</v>
      </c>
      <c r="E231" s="1262"/>
      <c r="F231" s="1262"/>
    </row>
    <row r="232" spans="1:6">
      <c r="D232" s="1262"/>
      <c r="E232" s="1262"/>
      <c r="F232" s="1262"/>
    </row>
    <row r="233" spans="1:6">
      <c r="D233" s="1288" t="s">
        <v>919</v>
      </c>
      <c r="E233" s="1288"/>
      <c r="F233" s="1288"/>
    </row>
    <row r="234" spans="1:6">
      <c r="D234" s="35"/>
      <c r="E234" s="35"/>
      <c r="F234" s="35"/>
    </row>
    <row r="235" spans="1:6" ht="14.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83" t="s">
        <v>1114</v>
      </c>
      <c r="B245" s="1283"/>
      <c r="C245" s="1283"/>
      <c r="D245" s="1283"/>
      <c r="E245" s="1283"/>
      <c r="F245" s="1283"/>
      <c r="G245" s="1283"/>
    </row>
    <row r="246" spans="1:7">
      <c r="D246" s="178"/>
      <c r="E246" s="35"/>
      <c r="F246" s="35"/>
    </row>
    <row r="247" spans="1:7">
      <c r="C247" s="172"/>
      <c r="D247" s="1294" t="s">
        <v>1247</v>
      </c>
      <c r="E247" s="1294"/>
      <c r="F247" s="1294"/>
    </row>
    <row r="248" spans="1:7">
      <c r="C248" s="172"/>
      <c r="D248" s="1294"/>
      <c r="E248" s="1294"/>
      <c r="F248" s="1294"/>
    </row>
    <row r="249" spans="1:7">
      <c r="A249" s="175"/>
      <c r="B249" s="175"/>
      <c r="C249" s="175"/>
      <c r="D249" s="2"/>
      <c r="E249" s="3"/>
      <c r="F249" s="3"/>
    </row>
    <row r="250" spans="1:7">
      <c r="C250" s="175"/>
      <c r="D250" s="1281" t="s">
        <v>211</v>
      </c>
      <c r="E250" s="1281"/>
      <c r="F250" s="1281"/>
    </row>
    <row r="251" spans="1:7" ht="15.75" customHeight="1">
      <c r="A251" s="176"/>
      <c r="B251" s="176"/>
      <c r="D251" s="1287" t="s">
        <v>1248</v>
      </c>
      <c r="E251" s="1287"/>
      <c r="F251" s="1287"/>
    </row>
    <row r="252" spans="1:7">
      <c r="E252" s="35"/>
      <c r="F252" s="35"/>
    </row>
    <row r="253" spans="1:7" ht="14.25">
      <c r="A253" s="176"/>
      <c r="B253" s="469" t="s">
        <v>309</v>
      </c>
      <c r="D253" s="1262" t="s">
        <v>1249</v>
      </c>
      <c r="E253" s="1262"/>
      <c r="F253" s="1262"/>
    </row>
    <row r="254" spans="1:7" ht="14.25">
      <c r="A254" s="176"/>
      <c r="B254" s="176"/>
      <c r="D254" s="1262"/>
      <c r="E254" s="1262"/>
      <c r="F254" s="1262"/>
    </row>
    <row r="255" spans="1:7">
      <c r="D255" s="35"/>
      <c r="E255" s="35"/>
      <c r="F255" s="35"/>
    </row>
    <row r="256" spans="1:7" ht="14.25">
      <c r="A256" s="176"/>
      <c r="B256" s="469" t="s">
        <v>309</v>
      </c>
      <c r="D256" s="1262" t="s">
        <v>1250</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1251</v>
      </c>
      <c r="E260" s="1262"/>
      <c r="F260" s="1262"/>
    </row>
    <row r="261" spans="1:7" ht="14.25">
      <c r="A261" s="176"/>
      <c r="B261" s="176"/>
      <c r="D261" s="1262"/>
      <c r="E261" s="1262"/>
      <c r="F261" s="1262"/>
    </row>
    <row r="262" spans="1:7">
      <c r="A262" s="13"/>
      <c r="B262" s="13"/>
      <c r="E262" s="35"/>
      <c r="F262" s="35"/>
    </row>
    <row r="263" spans="1:7">
      <c r="A263" s="1283" t="s">
        <v>1115</v>
      </c>
      <c r="B263" s="1283"/>
      <c r="C263" s="1283"/>
      <c r="D263" s="1283"/>
      <c r="E263" s="1283"/>
      <c r="F263" s="1283"/>
      <c r="G263" s="1283"/>
    </row>
    <row r="264" spans="1:7">
      <c r="A264" s="13"/>
      <c r="B264" s="13"/>
      <c r="D264" s="35"/>
      <c r="E264" s="35"/>
      <c r="F264" s="35"/>
    </row>
    <row r="265" spans="1:7">
      <c r="C265" s="13"/>
      <c r="D265" s="1281" t="s">
        <v>692</v>
      </c>
      <c r="E265" s="1281"/>
      <c r="F265" s="1281"/>
    </row>
    <row r="266" spans="1:7">
      <c r="C266" s="13"/>
      <c r="D266" s="1282" t="s">
        <v>1252</v>
      </c>
      <c r="E266" s="1282"/>
      <c r="F266" s="1282"/>
    </row>
    <row r="267" spans="1:7">
      <c r="C267" s="13"/>
      <c r="D267" s="173"/>
    </row>
    <row r="268" spans="1:7">
      <c r="B268" s="469" t="s">
        <v>309</v>
      </c>
      <c r="D268" s="1282" t="s">
        <v>1253</v>
      </c>
      <c r="E268" s="1282"/>
      <c r="F268" s="1282"/>
    </row>
    <row r="269" spans="1:7" ht="14.25">
      <c r="A269" s="176"/>
      <c r="B269" s="176"/>
      <c r="D269" s="342"/>
      <c r="E269" s="343"/>
      <c r="F269" s="343"/>
    </row>
    <row r="270" spans="1:7" ht="13.15" customHeight="1">
      <c r="B270" s="469" t="s">
        <v>309</v>
      </c>
      <c r="D270" s="1312" t="s">
        <v>1254</v>
      </c>
      <c r="E270" s="1312"/>
      <c r="F270" s="1312"/>
    </row>
    <row r="271" spans="1:7" ht="14.25">
      <c r="A271" s="176"/>
      <c r="B271" s="176"/>
      <c r="D271" s="1312"/>
      <c r="E271" s="1312"/>
      <c r="F271" s="1312"/>
    </row>
    <row r="272" spans="1:7" ht="14.25">
      <c r="A272" s="176"/>
      <c r="B272" s="176"/>
      <c r="D272" s="1312"/>
      <c r="E272" s="1312"/>
      <c r="F272" s="1312"/>
    </row>
    <row r="273" spans="1:6" ht="14.25">
      <c r="A273" s="176"/>
      <c r="B273" s="176"/>
      <c r="D273" s="1312"/>
      <c r="E273" s="1312"/>
      <c r="F273" s="1312"/>
    </row>
    <row r="274" spans="1:6" ht="14.25">
      <c r="A274" s="176"/>
      <c r="B274" s="176"/>
      <c r="D274" s="1312"/>
      <c r="E274" s="1312"/>
      <c r="F274" s="1312"/>
    </row>
    <row r="275" spans="1:6" ht="14.25">
      <c r="A275" s="176"/>
      <c r="B275" s="176"/>
      <c r="D275" s="342"/>
      <c r="E275" s="343"/>
      <c r="F275" s="343"/>
    </row>
    <row r="276" spans="1:6" ht="13.15" customHeight="1">
      <c r="B276" s="469" t="s">
        <v>309</v>
      </c>
      <c r="D276" s="1312" t="s">
        <v>1255</v>
      </c>
      <c r="E276" s="1312"/>
      <c r="F276" s="1312"/>
    </row>
    <row r="277" spans="1:6">
      <c r="D277" s="1312"/>
      <c r="E277" s="1312"/>
      <c r="F277" s="1312"/>
    </row>
    <row r="278" spans="1:6" ht="14.25">
      <c r="A278" s="176"/>
      <c r="B278" s="176"/>
      <c r="D278" s="342"/>
      <c r="E278" s="343"/>
      <c r="F278" s="343"/>
    </row>
    <row r="279" spans="1:6">
      <c r="B279" s="469" t="s">
        <v>309</v>
      </c>
      <c r="D279" s="1282" t="s">
        <v>1256</v>
      </c>
      <c r="E279" s="1282"/>
      <c r="F279" s="1282"/>
    </row>
    <row r="280" spans="1:6">
      <c r="E280" s="35"/>
      <c r="F280" s="35"/>
    </row>
    <row r="281" spans="1:6" ht="14.25">
      <c r="A281" s="176"/>
      <c r="B281" s="469" t="s">
        <v>309</v>
      </c>
      <c r="D281" s="1262" t="s">
        <v>1257</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308" t="s">
        <v>1020</v>
      </c>
      <c r="E314" s="1308"/>
      <c r="F314" s="1308"/>
      <c r="G314"/>
    </row>
    <row r="315" spans="1:7" ht="13.5" thickTop="1">
      <c r="D315" s="1309" t="s">
        <v>1260</v>
      </c>
      <c r="E315" s="1309"/>
      <c r="F315" s="1309"/>
      <c r="G315"/>
    </row>
    <row r="316" spans="1:7">
      <c r="A316" s="218"/>
      <c r="B316" s="218"/>
      <c r="C316" s="218"/>
      <c r="D316" s="220"/>
      <c r="E316" s="220"/>
      <c r="F316" s="35"/>
      <c r="G316"/>
    </row>
    <row r="317" spans="1:7" ht="14.25">
      <c r="A317" s="176"/>
      <c r="B317" s="469" t="s">
        <v>309</v>
      </c>
      <c r="C317" s="218"/>
      <c r="D317" s="1310" t="s">
        <v>1261</v>
      </c>
      <c r="E317" s="1310"/>
      <c r="F317" s="1310"/>
      <c r="G317"/>
    </row>
    <row r="318" spans="1:7">
      <c r="A318" s="218"/>
      <c r="B318" s="218"/>
      <c r="C318" s="218"/>
      <c r="D318" s="220"/>
      <c r="E318" s="220"/>
      <c r="F318" s="35"/>
      <c r="G318"/>
    </row>
    <row r="319" spans="1:7">
      <c r="A319" s="218"/>
      <c r="B319" s="469" t="s">
        <v>309</v>
      </c>
      <c r="C319" s="218"/>
      <c r="D319" s="1265" t="s">
        <v>1262</v>
      </c>
      <c r="E319" s="1265"/>
      <c r="F319" s="1265"/>
      <c r="G319"/>
    </row>
    <row r="320" spans="1:7">
      <c r="A320" s="218"/>
      <c r="B320" s="218"/>
      <c r="C320" s="218"/>
      <c r="D320" s="1265"/>
      <c r="E320" s="1265"/>
      <c r="F320" s="1265"/>
      <c r="G320"/>
    </row>
    <row r="321" spans="1:7">
      <c r="A321" s="218"/>
      <c r="B321" s="218"/>
      <c r="C321" s="218"/>
      <c r="D321" s="1265"/>
      <c r="E321" s="1265"/>
      <c r="F321" s="1265"/>
      <c r="G321"/>
    </row>
    <row r="322" spans="1:7">
      <c r="A322" s="218"/>
      <c r="B322" s="218"/>
      <c r="C322" s="218"/>
      <c r="D322" s="1265"/>
      <c r="E322" s="1265"/>
      <c r="F322" s="1265"/>
      <c r="G322"/>
    </row>
    <row r="323" spans="1:7">
      <c r="A323" s="218"/>
      <c r="B323" s="218"/>
      <c r="C323" s="218"/>
      <c r="D323" s="1265"/>
      <c r="E323" s="1265"/>
      <c r="F323" s="1265"/>
      <c r="G323"/>
    </row>
    <row r="324" spans="1:7">
      <c r="A324" s="218"/>
      <c r="B324" s="218"/>
      <c r="C324" s="218"/>
      <c r="D324" s="1265"/>
      <c r="E324" s="1265"/>
      <c r="F324" s="1265"/>
      <c r="G324"/>
    </row>
    <row r="325" spans="1:7">
      <c r="A325" s="218"/>
      <c r="B325" s="218"/>
      <c r="C325" s="218"/>
      <c r="D325" s="1265"/>
      <c r="E325" s="1265"/>
      <c r="F325" s="1265"/>
      <c r="G325"/>
    </row>
    <row r="326" spans="1:7">
      <c r="A326" s="218"/>
      <c r="B326" s="218"/>
      <c r="C326" s="218"/>
      <c r="D326" s="1265"/>
      <c r="E326" s="1265"/>
      <c r="F326" s="1265"/>
      <c r="G326"/>
    </row>
    <row r="327" spans="1:7">
      <c r="A327" s="218"/>
      <c r="B327" s="218"/>
      <c r="C327" s="218"/>
      <c r="D327" s="1265"/>
      <c r="E327" s="1265"/>
      <c r="F327" s="1265"/>
      <c r="G327"/>
    </row>
    <row r="328" spans="1:7">
      <c r="A328" s="218"/>
      <c r="B328" s="218"/>
      <c r="C328" s="218"/>
      <c r="D328" s="1265"/>
      <c r="E328" s="1265"/>
      <c r="F328" s="1265"/>
      <c r="G328"/>
    </row>
    <row r="329" spans="1:7">
      <c r="A329" s="218"/>
      <c r="B329" s="218"/>
      <c r="C329" s="218"/>
      <c r="D329" s="1265"/>
      <c r="E329" s="1265"/>
      <c r="F329" s="1265"/>
      <c r="G329"/>
    </row>
    <row r="330" spans="1:7">
      <c r="A330" s="218"/>
      <c r="B330" s="218"/>
      <c r="C330" s="218"/>
      <c r="D330"/>
      <c r="E330" s="220"/>
      <c r="F330" s="35"/>
      <c r="G330"/>
    </row>
    <row r="331" spans="1:7" ht="14.25">
      <c r="A331" s="176"/>
      <c r="B331" s="469" t="s">
        <v>309</v>
      </c>
      <c r="C331" s="218"/>
      <c r="D331" s="1265" t="s">
        <v>1263</v>
      </c>
      <c r="E331" s="1265"/>
      <c r="F331" s="1265"/>
      <c r="G331"/>
    </row>
    <row r="332" spans="1:7">
      <c r="A332" s="218"/>
      <c r="B332" s="218"/>
      <c r="C332" s="218"/>
      <c r="D332" s="1265"/>
      <c r="E332" s="1265"/>
      <c r="F332" s="1265"/>
      <c r="G332"/>
    </row>
    <row r="333" spans="1:7">
      <c r="A333" s="218"/>
      <c r="B333" s="218"/>
      <c r="C333" s="218"/>
      <c r="D333" s="1265"/>
      <c r="E333" s="1265"/>
      <c r="F333" s="1265"/>
      <c r="G333"/>
    </row>
    <row r="334" spans="1:7">
      <c r="A334" s="218"/>
      <c r="B334" s="218"/>
      <c r="C334" s="218"/>
      <c r="D334" s="1265"/>
      <c r="E334" s="1265"/>
      <c r="F334" s="1265"/>
      <c r="G334"/>
    </row>
    <row r="335" spans="1:7">
      <c r="A335" s="218"/>
      <c r="B335" s="218"/>
      <c r="C335" s="218"/>
      <c r="D335" s="220"/>
      <c r="E335" s="220"/>
      <c r="F335" s="35"/>
      <c r="G335"/>
    </row>
    <row r="336" spans="1:7">
      <c r="A336" s="218"/>
      <c r="B336" s="218"/>
      <c r="C336" s="218"/>
      <c r="D336" s="1265" t="s">
        <v>1264</v>
      </c>
      <c r="E336" s="1265"/>
      <c r="F336" s="1265"/>
      <c r="G336"/>
    </row>
    <row r="337" spans="1:7">
      <c r="A337" s="218"/>
      <c r="B337" s="218"/>
      <c r="C337" s="218"/>
      <c r="D337" s="1265"/>
      <c r="E337" s="1265"/>
      <c r="F337" s="1265"/>
      <c r="G337"/>
    </row>
    <row r="338" spans="1:7">
      <c r="A338" s="218"/>
      <c r="B338" s="218"/>
      <c r="C338" s="218"/>
      <c r="D338" s="1265"/>
      <c r="E338" s="1265"/>
      <c r="F338" s="1265"/>
      <c r="G338"/>
    </row>
    <row r="339" spans="1:7">
      <c r="A339" s="218"/>
      <c r="B339" s="218"/>
      <c r="C339" s="218"/>
      <c r="D339" s="1265"/>
      <c r="E339" s="1265"/>
      <c r="F339" s="1265"/>
      <c r="G339"/>
    </row>
    <row r="340" spans="1:7" ht="18" customHeight="1">
      <c r="A340" s="218"/>
      <c r="B340" s="218"/>
      <c r="C340" s="218"/>
      <c r="D340" s="1265"/>
      <c r="E340" s="1265"/>
      <c r="F340" s="1265"/>
      <c r="G340"/>
    </row>
    <row r="341" spans="1:7">
      <c r="A341" s="218"/>
      <c r="B341" s="218"/>
      <c r="C341" s="218"/>
      <c r="D341" s="1265"/>
      <c r="E341" s="1265"/>
      <c r="F341" s="1265"/>
      <c r="G341"/>
    </row>
    <row r="342" spans="1:7">
      <c r="A342" s="218"/>
      <c r="B342" s="218"/>
      <c r="C342" s="218"/>
      <c r="D342" s="1265"/>
      <c r="E342" s="1265"/>
      <c r="F342" s="1265"/>
      <c r="G342"/>
    </row>
    <row r="343" spans="1:7">
      <c r="A343" s="218"/>
      <c r="B343" s="218"/>
      <c r="C343" s="218"/>
      <c r="D343" s="1265"/>
      <c r="E343" s="1265"/>
      <c r="F343" s="1265"/>
      <c r="G343"/>
    </row>
    <row r="344" spans="1:7" ht="8.25" customHeight="1">
      <c r="A344" s="218"/>
      <c r="B344" s="218"/>
      <c r="C344" s="218"/>
      <c r="D344" s="1265"/>
      <c r="E344" s="1265"/>
      <c r="F344" s="1265"/>
      <c r="G344"/>
    </row>
    <row r="345" spans="1:7" ht="13.15" customHeight="1">
      <c r="A345" s="218"/>
      <c r="B345" s="218"/>
      <c r="C345" s="218"/>
      <c r="D345" s="1265" t="s">
        <v>1265</v>
      </c>
      <c r="E345" s="1265"/>
      <c r="F345" s="1265"/>
      <c r="G345"/>
    </row>
    <row r="346" spans="1:7">
      <c r="A346" s="218"/>
      <c r="B346" s="218"/>
      <c r="C346" s="218"/>
      <c r="D346" s="1265"/>
      <c r="E346" s="1265"/>
      <c r="F346" s="1265"/>
      <c r="G346"/>
    </row>
    <row r="347" spans="1:7">
      <c r="A347" s="218"/>
      <c r="B347" s="218"/>
      <c r="C347" s="218"/>
      <c r="D347" s="1265"/>
      <c r="E347" s="1265"/>
      <c r="F347" s="1265"/>
      <c r="G347"/>
    </row>
    <row r="348" spans="1:7">
      <c r="A348" s="218"/>
      <c r="B348" s="218"/>
      <c r="C348" s="218"/>
      <c r="D348" s="1265"/>
      <c r="E348" s="1265"/>
      <c r="F348" s="1265"/>
      <c r="G348"/>
    </row>
    <row r="349" spans="1:7">
      <c r="A349" s="218"/>
      <c r="B349" s="218"/>
      <c r="C349" s="218"/>
      <c r="D349" s="1265"/>
      <c r="E349" s="1265"/>
      <c r="F349" s="1265"/>
      <c r="G349"/>
    </row>
    <row r="350" spans="1:7">
      <c r="A350" s="218"/>
      <c r="B350" s="218"/>
      <c r="C350" s="218"/>
      <c r="D350" s="1265"/>
      <c r="E350" s="1265"/>
      <c r="F350" s="1265"/>
      <c r="G350"/>
    </row>
    <row r="351" spans="1:7">
      <c r="A351" s="218"/>
      <c r="B351" s="218"/>
      <c r="C351" s="218"/>
      <c r="D351" s="1265"/>
      <c r="E351" s="1265"/>
      <c r="F351" s="1265"/>
      <c r="G351"/>
    </row>
    <row r="352" spans="1:7">
      <c r="A352" s="218"/>
      <c r="B352" s="218"/>
      <c r="C352" s="218"/>
      <c r="D352" s="1265"/>
      <c r="E352" s="1265"/>
      <c r="F352" s="1265"/>
      <c r="G352"/>
    </row>
    <row r="353" spans="1:7">
      <c r="A353" s="218"/>
      <c r="B353" s="218"/>
      <c r="C353" s="218"/>
      <c r="D353" s="1265"/>
      <c r="E353" s="1265"/>
      <c r="F353" s="1265"/>
      <c r="G353"/>
    </row>
    <row r="354" spans="1:7">
      <c r="A354" s="218"/>
      <c r="B354" s="218"/>
      <c r="C354" s="218"/>
      <c r="D354" s="1265"/>
      <c r="E354" s="1265"/>
      <c r="F354" s="1265"/>
      <c r="G354"/>
    </row>
    <row r="355" spans="1:7">
      <c r="A355" s="218"/>
      <c r="B355" s="218"/>
      <c r="C355" s="218"/>
      <c r="D355" s="1265"/>
      <c r="E355" s="1265"/>
      <c r="F355" s="1265"/>
      <c r="G355"/>
    </row>
    <row r="356" spans="1:7">
      <c r="A356" s="218"/>
      <c r="B356" s="218"/>
      <c r="C356" s="218"/>
      <c r="D356" s="1265"/>
      <c r="E356" s="1265"/>
      <c r="F356" s="1265"/>
      <c r="G356"/>
    </row>
    <row r="357" spans="1:7">
      <c r="A357" s="218"/>
      <c r="B357" s="218"/>
      <c r="C357" s="348"/>
      <c r="D357" s="1265"/>
      <c r="E357" s="1265"/>
      <c r="F357" s="1265"/>
      <c r="G357"/>
    </row>
    <row r="358" spans="1:7">
      <c r="A358" s="218"/>
      <c r="B358" s="218"/>
      <c r="C358" s="348"/>
      <c r="D358" s="1265"/>
      <c r="E358" s="1265"/>
      <c r="F358" s="1265"/>
      <c r="G358"/>
    </row>
    <row r="359" spans="1:7">
      <c r="A359" s="218"/>
      <c r="B359" s="218"/>
      <c r="C359" s="218"/>
      <c r="D359" s="1265"/>
      <c r="E359" s="1265"/>
      <c r="F359" s="1265"/>
      <c r="G359"/>
    </row>
    <row r="360" spans="1:7">
      <c r="A360" s="218"/>
      <c r="B360" s="218"/>
      <c r="C360" s="348"/>
      <c r="D360" s="1265"/>
      <c r="E360" s="1265"/>
      <c r="F360" s="1265"/>
      <c r="G360"/>
    </row>
    <row r="361" spans="1:7">
      <c r="A361" s="218"/>
      <c r="B361" s="218"/>
      <c r="C361" s="348"/>
      <c r="D361" s="1265"/>
      <c r="E361" s="1265"/>
      <c r="F361" s="1265"/>
      <c r="G361"/>
    </row>
    <row r="362" spans="1:7">
      <c r="A362" s="218"/>
      <c r="B362" s="218"/>
      <c r="C362" s="348"/>
      <c r="D362" s="1265"/>
      <c r="E362" s="1265"/>
      <c r="F362" s="1265"/>
      <c r="G362"/>
    </row>
    <row r="363" spans="1:7">
      <c r="A363" s="218"/>
      <c r="B363" s="218"/>
      <c r="C363" s="218"/>
      <c r="D363" s="220"/>
      <c r="E363" s="220"/>
      <c r="F363" s="35"/>
      <c r="G363"/>
    </row>
    <row r="364" spans="1:7">
      <c r="A364" s="218"/>
      <c r="B364" s="469" t="s">
        <v>309</v>
      </c>
      <c r="C364" s="218"/>
      <c r="D364" s="1265" t="s">
        <v>1266</v>
      </c>
      <c r="E364" s="1265"/>
      <c r="F364" s="1265"/>
      <c r="G364"/>
    </row>
    <row r="365" spans="1:7">
      <c r="A365" s="218"/>
      <c r="B365" s="218"/>
      <c r="C365" s="218"/>
      <c r="D365" s="1265"/>
      <c r="E365" s="1265"/>
      <c r="F365" s="1265"/>
      <c r="G365"/>
    </row>
    <row r="366" spans="1:7">
      <c r="A366" s="218"/>
      <c r="B366" s="218"/>
      <c r="C366" s="218"/>
      <c r="D366" s="220"/>
      <c r="E366" s="220"/>
      <c r="F366" s="35"/>
      <c r="G366"/>
    </row>
    <row r="367" spans="1:7" ht="14.25">
      <c r="A367" s="176"/>
      <c r="B367" s="469" t="s">
        <v>309</v>
      </c>
      <c r="C367" s="218"/>
      <c r="D367" s="1265" t="s">
        <v>1267</v>
      </c>
      <c r="E367" s="1265"/>
      <c r="F367" s="1265"/>
      <c r="G367"/>
    </row>
    <row r="368" spans="1:7" ht="14.25">
      <c r="A368" s="347"/>
      <c r="B368" s="347"/>
      <c r="C368" s="218"/>
      <c r="D368" s="1265"/>
      <c r="E368" s="1265"/>
      <c r="F368" s="1265"/>
      <c r="G368"/>
    </row>
    <row r="369" spans="1:7" ht="14.25">
      <c r="A369" s="347"/>
      <c r="B369" s="347"/>
      <c r="C369" s="218"/>
      <c r="D369" s="1265"/>
      <c r="E369" s="1265"/>
      <c r="F369" s="1265"/>
      <c r="G369"/>
    </row>
    <row r="370" spans="1:7" ht="14.25">
      <c r="A370" s="347"/>
      <c r="B370" s="347"/>
      <c r="C370" s="218"/>
      <c r="D370" s="1265"/>
      <c r="E370" s="1265"/>
      <c r="F370" s="1265"/>
      <c r="G370"/>
    </row>
    <row r="371" spans="1:7" ht="14.25">
      <c r="A371" s="347"/>
      <c r="B371" s="347"/>
      <c r="C371" s="218"/>
      <c r="D371" s="1265"/>
      <c r="E371" s="1265"/>
      <c r="F371" s="1265"/>
      <c r="G371"/>
    </row>
    <row r="372" spans="1:7">
      <c r="D372" s="35"/>
      <c r="E372" s="35"/>
      <c r="F372" s="35"/>
      <c r="G372"/>
    </row>
    <row r="373" spans="1:7" ht="14.25">
      <c r="A373" s="176"/>
      <c r="B373" s="469" t="s">
        <v>309</v>
      </c>
      <c r="C373" s="179"/>
      <c r="D373" s="1262" t="s">
        <v>1268</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82" t="s">
        <v>1269</v>
      </c>
      <c r="E405" s="1282"/>
      <c r="F405" s="1282"/>
    </row>
    <row r="406" spans="1:7">
      <c r="D406" s="1307" t="s">
        <v>1040</v>
      </c>
      <c r="E406" s="1307"/>
      <c r="F406" s="1307"/>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1272</v>
      </c>
      <c r="E416" s="1262"/>
      <c r="F416" s="1262"/>
      <c r="G416"/>
    </row>
    <row r="417" spans="1:7">
      <c r="D417" s="1262"/>
      <c r="E417" s="1262"/>
      <c r="F417" s="1262"/>
      <c r="G417"/>
    </row>
    <row r="418" spans="1:7">
      <c r="D418" s="35"/>
      <c r="E418" s="35"/>
      <c r="F418" s="35"/>
      <c r="G418"/>
    </row>
    <row r="419" spans="1:7" ht="14.25">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82" t="s">
        <v>1275</v>
      </c>
      <c r="E440" s="1282"/>
      <c r="F440" s="1282"/>
    </row>
    <row r="441" spans="1:7">
      <c r="A441" s="35"/>
      <c r="B441" s="35"/>
    </row>
    <row r="442" spans="1:7">
      <c r="A442" s="1283" t="s">
        <v>1116</v>
      </c>
      <c r="B442" s="1283"/>
      <c r="C442" s="1283"/>
      <c r="D442" s="1283"/>
      <c r="E442" s="1283"/>
      <c r="F442" s="1283"/>
      <c r="G442" s="1283"/>
    </row>
    <row r="443" spans="1:7">
      <c r="A443" s="35"/>
      <c r="B443" s="35"/>
    </row>
    <row r="444" spans="1:7">
      <c r="D444" s="1313" t="s">
        <v>913</v>
      </c>
      <c r="E444" s="1313"/>
      <c r="F444" s="1313"/>
    </row>
    <row r="445" spans="1:7" ht="14.25">
      <c r="A445" s="176"/>
      <c r="B445" s="176"/>
      <c r="D445" s="1310" t="s">
        <v>1276</v>
      </c>
      <c r="E445" s="1310"/>
      <c r="F445" s="1310"/>
    </row>
    <row r="446" spans="1:7" ht="14.25">
      <c r="A446" s="176"/>
      <c r="B446" s="176"/>
      <c r="D446" s="482"/>
      <c r="E446" s="3"/>
      <c r="F446" s="3"/>
    </row>
    <row r="447" spans="1:7" ht="14.25">
      <c r="A447" s="176"/>
      <c r="B447" s="469" t="s">
        <v>309</v>
      </c>
      <c r="D447" s="1265" t="s">
        <v>1277</v>
      </c>
      <c r="E447" s="1265"/>
      <c r="F447" s="1265"/>
    </row>
    <row r="448" spans="1:7" ht="14.25">
      <c r="A448" s="176"/>
      <c r="B448" s="176"/>
      <c r="D448" s="1265"/>
      <c r="E448" s="1265"/>
      <c r="F448" s="1265"/>
    </row>
    <row r="449" spans="1:7" ht="14.25">
      <c r="A449" s="176"/>
      <c r="B449" s="176"/>
      <c r="D449" s="118"/>
      <c r="E449" s="3"/>
      <c r="F449" s="3"/>
    </row>
    <row r="450" spans="1:7">
      <c r="B450" s="469" t="s">
        <v>309</v>
      </c>
      <c r="D450" s="1299" t="s">
        <v>1278</v>
      </c>
      <c r="E450" s="1299"/>
      <c r="F450" s="1299"/>
    </row>
    <row r="451" spans="1:7" ht="14.25">
      <c r="A451" s="176"/>
      <c r="D451" s="1299"/>
      <c r="E451" s="1299"/>
      <c r="F451" s="1299"/>
    </row>
    <row r="452" spans="1:7" ht="14.25">
      <c r="A452" s="176"/>
      <c r="B452" s="176"/>
      <c r="D452" s="1299"/>
      <c r="E452" s="1299"/>
      <c r="F452" s="1299"/>
    </row>
    <row r="453" spans="1:7" ht="14.25">
      <c r="A453" s="176"/>
      <c r="B453" s="176"/>
      <c r="D453" s="1299"/>
      <c r="E453" s="1299"/>
      <c r="F453" s="1299"/>
    </row>
    <row r="454" spans="1:7">
      <c r="D454" s="3"/>
      <c r="E454" s="3"/>
      <c r="F454" s="3"/>
      <c r="G454"/>
    </row>
    <row r="455" spans="1:7" ht="14.25">
      <c r="A455" s="176"/>
      <c r="B455" s="469" t="s">
        <v>309</v>
      </c>
      <c r="D455" s="1262" t="s">
        <v>1279</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82" t="s">
        <v>1280</v>
      </c>
      <c r="E459" s="1282"/>
      <c r="F459" s="1282"/>
      <c r="G459"/>
    </row>
    <row r="460" spans="1:7" ht="14.25">
      <c r="A460" s="176"/>
      <c r="B460" s="176"/>
      <c r="D460" s="118"/>
      <c r="E460" s="3"/>
      <c r="F460" s="3"/>
      <c r="G460"/>
    </row>
    <row r="461" spans="1:7" ht="14.25">
      <c r="A461" s="176"/>
      <c r="B461" s="469" t="s">
        <v>309</v>
      </c>
      <c r="D461" s="1262" t="s">
        <v>1281</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82" t="s">
        <v>1282</v>
      </c>
      <c r="E464" s="1282"/>
      <c r="F464" s="1282"/>
      <c r="G464"/>
    </row>
    <row r="465" spans="1:7" ht="14.25">
      <c r="A465" s="176"/>
      <c r="B465" s="176"/>
      <c r="D465" s="35"/>
    </row>
    <row r="466" spans="1:7">
      <c r="A466" s="1283" t="s">
        <v>1117</v>
      </c>
      <c r="B466" s="1283"/>
      <c r="C466" s="1283"/>
      <c r="D466" s="1283"/>
      <c r="E466" s="1283"/>
      <c r="F466" s="1283"/>
      <c r="G466" s="1283"/>
    </row>
    <row r="467" spans="1:7" ht="12" customHeight="1">
      <c r="A467" s="176"/>
      <c r="B467" s="176"/>
      <c r="D467" s="35"/>
    </row>
    <row r="468" spans="1:7">
      <c r="C468" s="172"/>
      <c r="D468" s="1281" t="s">
        <v>818</v>
      </c>
      <c r="E468" s="1281"/>
      <c r="F468" s="1281"/>
    </row>
    <row r="469" spans="1:7" ht="13.15" customHeight="1">
      <c r="A469" s="175"/>
      <c r="B469" s="175"/>
      <c r="C469" s="175"/>
      <c r="D469" s="1314" t="s">
        <v>1160</v>
      </c>
      <c r="E469" s="1314"/>
      <c r="F469" s="1314"/>
    </row>
    <row r="470" spans="1:7">
      <c r="A470" s="175"/>
      <c r="B470" s="175"/>
      <c r="C470" s="175"/>
      <c r="D470" s="1314"/>
      <c r="E470" s="1314"/>
      <c r="F470" s="1314"/>
    </row>
    <row r="471" spans="1:7">
      <c r="A471" s="175"/>
      <c r="B471" s="175"/>
      <c r="C471" s="175"/>
      <c r="D471" s="1314"/>
      <c r="E471" s="1314"/>
      <c r="F471" s="1314"/>
    </row>
    <row r="472" spans="1:7">
      <c r="A472" s="175"/>
      <c r="B472" s="175"/>
      <c r="C472" s="175"/>
      <c r="D472" s="1314"/>
      <c r="E472" s="1314"/>
      <c r="F472" s="1314"/>
    </row>
    <row r="473" spans="1:7">
      <c r="A473" s="175"/>
      <c r="B473" s="175"/>
      <c r="C473" s="175"/>
      <c r="D473" s="1314"/>
      <c r="E473" s="1314"/>
      <c r="F473" s="1314"/>
    </row>
    <row r="474" spans="1:7">
      <c r="A474" s="175"/>
      <c r="B474" s="175"/>
      <c r="C474" s="175"/>
      <c r="D474" s="326"/>
      <c r="F474" s="35"/>
    </row>
    <row r="475" spans="1:7" ht="14.45" customHeight="1">
      <c r="A475" s="176"/>
      <c r="B475" s="469" t="s">
        <v>309</v>
      </c>
      <c r="C475" s="175"/>
      <c r="D475" s="1298" t="s">
        <v>1151</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45" customHeight="1">
      <c r="A481" s="176"/>
      <c r="B481" s="469" t="s">
        <v>309</v>
      </c>
      <c r="C481" s="175"/>
      <c r="D481" s="1298" t="s">
        <v>1154</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20"/>
      <c r="F485" s="35"/>
    </row>
    <row r="486" spans="1:6" ht="14.45" customHeight="1">
      <c r="A486" s="176"/>
      <c r="B486" s="469" t="s">
        <v>309</v>
      </c>
      <c r="C486" s="175"/>
      <c r="D486" s="1298" t="s">
        <v>1152</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6"/>
      <c r="E489" s="476"/>
      <c r="F489" s="476"/>
    </row>
    <row r="490" spans="1:6" ht="14.45" customHeight="1">
      <c r="A490" s="176"/>
      <c r="B490" s="469" t="s">
        <v>309</v>
      </c>
      <c r="C490" s="175"/>
      <c r="D490" s="1298" t="s">
        <v>1153</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15" customHeight="1">
      <c r="A500" s="175"/>
      <c r="B500" s="469" t="s">
        <v>309</v>
      </c>
      <c r="C500" s="175"/>
      <c r="D500" s="1265" t="s">
        <v>1297</v>
      </c>
      <c r="E500" s="1265"/>
      <c r="F500" s="1265"/>
    </row>
    <row r="501" spans="1:7">
      <c r="A501" s="175"/>
      <c r="B501" s="175"/>
      <c r="C501" s="175"/>
      <c r="D501" s="1265"/>
      <c r="E501" s="1265"/>
      <c r="F501" s="1265"/>
    </row>
    <row r="502" spans="1:7">
      <c r="A502" s="175"/>
      <c r="B502" s="175"/>
      <c r="C502" s="175"/>
      <c r="D502" s="1265"/>
      <c r="E502" s="1265"/>
      <c r="F502" s="1265"/>
    </row>
    <row r="503" spans="1:7">
      <c r="A503" s="175"/>
      <c r="B503" s="175"/>
      <c r="C503" s="175"/>
      <c r="D503" s="1265"/>
      <c r="E503" s="1265"/>
      <c r="F503" s="1265"/>
    </row>
    <row r="504" spans="1:7">
      <c r="A504" s="175"/>
      <c r="B504" s="175"/>
      <c r="C504" s="175"/>
      <c r="D504" s="1265"/>
      <c r="E504" s="1265"/>
      <c r="F504" s="1265"/>
    </row>
    <row r="505" spans="1:7">
      <c r="A505" s="175"/>
      <c r="B505" s="175"/>
      <c r="C505" s="175"/>
      <c r="D505" s="486"/>
      <c r="E505" s="486"/>
      <c r="F505" s="486"/>
    </row>
    <row r="506" spans="1:7" ht="14.45" customHeight="1">
      <c r="A506" s="176"/>
      <c r="B506" s="469" t="s">
        <v>309</v>
      </c>
      <c r="D506" s="1298" t="s">
        <v>1155</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3" t="s">
        <v>1118</v>
      </c>
      <c r="B510" s="1283"/>
      <c r="C510" s="1283"/>
      <c r="D510" s="1283"/>
      <c r="E510" s="1283"/>
      <c r="F510" s="1283"/>
      <c r="G510" s="1283"/>
    </row>
    <row r="511" spans="1:7">
      <c r="A511" s="35"/>
      <c r="B511" s="35"/>
      <c r="C511" s="179"/>
      <c r="F511" s="57"/>
    </row>
    <row r="512" spans="1:7">
      <c r="B512" s="1280" t="s">
        <v>450</v>
      </c>
      <c r="C512" s="1280"/>
      <c r="D512" s="1280"/>
      <c r="E512" s="1280"/>
      <c r="F512" s="1280"/>
    </row>
    <row r="513" spans="1:7">
      <c r="A513" s="35"/>
      <c r="B513" s="35"/>
      <c r="C513" s="179"/>
      <c r="D513" s="35"/>
      <c r="F513" s="35"/>
    </row>
    <row r="514" spans="1:7">
      <c r="A514" s="1284" t="s">
        <v>1119</v>
      </c>
      <c r="B514" s="1284"/>
      <c r="C514" s="1284"/>
      <c r="D514" s="1284"/>
      <c r="E514" s="1284"/>
      <c r="F514" s="1284"/>
      <c r="G514" s="1284"/>
    </row>
    <row r="515" spans="1:7">
      <c r="A515" s="35"/>
      <c r="B515" s="35"/>
      <c r="C515" s="179"/>
      <c r="D515" s="35"/>
      <c r="F515" s="35"/>
    </row>
    <row r="516" spans="1:7">
      <c r="C516" s="179"/>
      <c r="D516" s="1281" t="s">
        <v>693</v>
      </c>
      <c r="E516" s="1281"/>
      <c r="F516" s="1281"/>
    </row>
    <row r="517" spans="1:7">
      <c r="C517" s="179"/>
      <c r="D517" s="1282" t="s">
        <v>1176</v>
      </c>
      <c r="E517" s="1282"/>
      <c r="F517" s="1282"/>
    </row>
    <row r="518" spans="1:7">
      <c r="C518" s="179"/>
      <c r="D518" s="118"/>
      <c r="E518" s="118"/>
      <c r="F518" s="118"/>
    </row>
    <row r="519" spans="1:7" ht="13.15" customHeight="1">
      <c r="A519" s="176"/>
      <c r="B519" s="469" t="s">
        <v>309</v>
      </c>
      <c r="C519" s="179"/>
      <c r="D519" s="1282" t="s">
        <v>914</v>
      </c>
      <c r="E519" s="1282"/>
      <c r="F519" s="1282"/>
      <c r="G519"/>
    </row>
    <row r="520" spans="1:7" ht="13.15" customHeight="1">
      <c r="A520" s="179"/>
      <c r="B520" s="179"/>
      <c r="C520" s="179"/>
      <c r="D520" s="118"/>
      <c r="E520"/>
      <c r="F520"/>
      <c r="G520"/>
    </row>
    <row r="521" spans="1:7" ht="14.25">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82" t="s">
        <v>1183</v>
      </c>
      <c r="E543" s="1282"/>
      <c r="F543" s="1282"/>
    </row>
    <row r="544" spans="1:7">
      <c r="A544" s="13"/>
      <c r="B544" s="13"/>
      <c r="C544" s="179"/>
      <c r="D544" s="1282" t="s">
        <v>847</v>
      </c>
      <c r="E544" s="1282"/>
      <c r="F544" s="1282"/>
    </row>
    <row r="545" spans="1:7">
      <c r="A545" s="13"/>
      <c r="B545" s="13"/>
      <c r="C545" s="179"/>
      <c r="D545" s="3"/>
      <c r="E545" s="1287" t="s">
        <v>1184</v>
      </c>
      <c r="F545" s="1287"/>
    </row>
    <row r="546" spans="1:7" ht="14.25">
      <c r="A546" s="176"/>
      <c r="B546" s="176"/>
      <c r="C546" s="179"/>
      <c r="E546" s="35"/>
      <c r="F546" s="35"/>
    </row>
    <row r="547" spans="1:7" ht="14.25">
      <c r="A547" s="176"/>
      <c r="B547" s="469" t="s">
        <v>309</v>
      </c>
      <c r="C547" s="179"/>
      <c r="D547" s="1282" t="s">
        <v>1185</v>
      </c>
      <c r="E547" s="1282"/>
      <c r="F547" s="1282"/>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1187</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83" t="s">
        <v>1120</v>
      </c>
      <c r="B557" s="1283"/>
      <c r="C557" s="1283"/>
      <c r="D557" s="1283"/>
      <c r="E557" s="1283"/>
      <c r="F557" s="1283"/>
      <c r="G557" s="1283"/>
    </row>
    <row r="558" spans="1:7">
      <c r="A558" s="179"/>
      <c r="B558" s="179"/>
      <c r="C558" s="179"/>
      <c r="E558" s="35"/>
      <c r="F558" s="35"/>
    </row>
    <row r="559" spans="1:7" ht="12.75" customHeight="1">
      <c r="C559" s="172"/>
      <c r="D559" s="1294" t="s">
        <v>212</v>
      </c>
      <c r="E559" s="1294"/>
      <c r="F559" s="1294"/>
    </row>
    <row r="560" spans="1:7">
      <c r="A560" s="175"/>
      <c r="B560" s="175"/>
      <c r="C560" s="175"/>
      <c r="D560" s="1299" t="s">
        <v>1136</v>
      </c>
      <c r="E560" s="1299"/>
      <c r="F560" s="1299"/>
    </row>
    <row r="561" spans="1:6">
      <c r="A561"/>
      <c r="B561"/>
      <c r="C561" s="175"/>
      <c r="D561" s="255"/>
    </row>
    <row r="562" spans="1:6">
      <c r="A562" s="175"/>
      <c r="B562" s="469" t="s">
        <v>309</v>
      </c>
      <c r="D562" s="1299" t="s">
        <v>920</v>
      </c>
      <c r="E562" s="1299"/>
      <c r="F562" s="1299"/>
    </row>
    <row r="563" spans="1:6">
      <c r="A563" s="13"/>
      <c r="B563" s="13"/>
      <c r="D563" s="218"/>
    </row>
    <row r="564" spans="1:6">
      <c r="A564" s="13"/>
      <c r="B564" s="469" t="s">
        <v>309</v>
      </c>
      <c r="D564" s="1299" t="s">
        <v>1137</v>
      </c>
      <c r="E564" s="1299"/>
      <c r="F564" s="1299"/>
    </row>
    <row r="565" spans="1:6">
      <c r="A565" s="13"/>
      <c r="B565" s="13"/>
      <c r="D565" s="1299"/>
      <c r="E565" s="1299"/>
      <c r="F565" s="1299"/>
    </row>
    <row r="566" spans="1:6">
      <c r="A566" s="13"/>
      <c r="B566" s="13"/>
      <c r="D566" s="1299"/>
      <c r="E566" s="1299"/>
      <c r="F566" s="1299"/>
    </row>
    <row r="567" spans="1:6">
      <c r="A567" s="13"/>
      <c r="B567" s="13"/>
      <c r="D567" s="255"/>
    </row>
    <row r="568" spans="1:6">
      <c r="A568" s="13"/>
      <c r="B568" s="469" t="s">
        <v>309</v>
      </c>
      <c r="D568" s="1299" t="s">
        <v>1138</v>
      </c>
      <c r="E568" s="1299"/>
      <c r="F568" s="1299"/>
    </row>
    <row r="569" spans="1:6">
      <c r="A569" s="13"/>
      <c r="B569" s="13"/>
      <c r="D569" s="1299"/>
      <c r="E569" s="1299"/>
      <c r="F569" s="1299"/>
    </row>
    <row r="570" spans="1:6">
      <c r="A570" s="13"/>
      <c r="B570" s="13"/>
      <c r="D570" s="1299"/>
      <c r="E570" s="1299"/>
      <c r="F570" s="1299"/>
    </row>
    <row r="571" spans="1:6">
      <c r="A571" s="13"/>
      <c r="B571" s="13"/>
      <c r="D571" s="1299"/>
      <c r="E571" s="1299"/>
      <c r="F571" s="1299"/>
    </row>
    <row r="572" spans="1:6">
      <c r="A572" s="13"/>
      <c r="B572" s="13"/>
      <c r="D572" s="474"/>
      <c r="E572" s="474"/>
      <c r="F572" s="474"/>
    </row>
    <row r="573" spans="1:6">
      <c r="A573" s="13"/>
      <c r="B573" s="469" t="s">
        <v>309</v>
      </c>
      <c r="D573" s="1299" t="s">
        <v>1139</v>
      </c>
      <c r="E573" s="1299"/>
      <c r="F573" s="1299"/>
    </row>
    <row r="574" spans="1:6">
      <c r="A574" s="13"/>
      <c r="B574" s="13"/>
      <c r="D574" s="1299"/>
      <c r="E574" s="1299"/>
      <c r="F574" s="1299"/>
    </row>
    <row r="575" spans="1:6">
      <c r="A575" s="13"/>
      <c r="B575" s="13"/>
      <c r="D575" s="255"/>
    </row>
    <row r="576" spans="1:6">
      <c r="A576" s="13"/>
      <c r="B576" s="469" t="s">
        <v>309</v>
      </c>
      <c r="D576" s="1299" t="s">
        <v>1140</v>
      </c>
      <c r="E576" s="1299"/>
      <c r="F576" s="1299"/>
    </row>
    <row r="577" spans="1:7">
      <c r="A577" s="13"/>
      <c r="B577" s="13"/>
      <c r="D577" s="1299"/>
      <c r="E577" s="1299"/>
      <c r="F577" s="1299"/>
    </row>
    <row r="578" spans="1:7">
      <c r="A578" s="13"/>
      <c r="B578" s="13"/>
      <c r="D578" s="255"/>
    </row>
    <row r="579" spans="1:7" ht="14.25">
      <c r="A579" s="176"/>
      <c r="B579" s="469" t="s">
        <v>309</v>
      </c>
      <c r="D579" s="1299" t="s">
        <v>915</v>
      </c>
      <c r="E579" s="1299"/>
      <c r="F579" s="1299"/>
    </row>
    <row r="580" spans="1:7" ht="14.25">
      <c r="A580" s="176"/>
      <c r="B580" s="176"/>
      <c r="D580" s="255"/>
    </row>
    <row r="581" spans="1:7" ht="14.25">
      <c r="A581" s="176"/>
      <c r="B581" s="469" t="s">
        <v>309</v>
      </c>
      <c r="D581" s="1299" t="s">
        <v>1141</v>
      </c>
      <c r="E581" s="1299"/>
      <c r="F581" s="1299"/>
    </row>
    <row r="582" spans="1:7" ht="14.25">
      <c r="A582" s="176"/>
      <c r="B582" s="176"/>
      <c r="D582" s="1299"/>
      <c r="E582" s="1299"/>
      <c r="F582" s="1299"/>
    </row>
    <row r="583" spans="1:7">
      <c r="D583" s="1299"/>
      <c r="E583" s="1299"/>
      <c r="F583" s="1299"/>
    </row>
    <row r="584" spans="1:7">
      <c r="D584" s="1299"/>
      <c r="E584" s="1299"/>
      <c r="F584" s="1299"/>
    </row>
    <row r="585" spans="1:7">
      <c r="D585" s="1299"/>
      <c r="E585" s="1299"/>
      <c r="F585" s="1299"/>
    </row>
    <row r="586" spans="1:7">
      <c r="D586" s="1299"/>
      <c r="E586" s="1299"/>
      <c r="F586" s="1299"/>
    </row>
    <row r="587" spans="1:7"/>
    <row r="588" spans="1:7">
      <c r="A588" s="1283" t="s">
        <v>1121</v>
      </c>
      <c r="B588" s="1283"/>
      <c r="C588" s="1283"/>
      <c r="D588" s="1283"/>
      <c r="E588" s="1283"/>
      <c r="F588" s="1283"/>
      <c r="G588" s="1283"/>
    </row>
    <row r="589" spans="1:7"/>
    <row r="590" spans="1:7">
      <c r="D590" s="1275" t="s">
        <v>1221</v>
      </c>
      <c r="E590" s="1275"/>
      <c r="F590" s="1275"/>
    </row>
    <row r="591" spans="1:7">
      <c r="D591" s="1276" t="s">
        <v>1222</v>
      </c>
      <c r="E591" s="1276"/>
      <c r="F591" s="1276"/>
    </row>
    <row r="592" spans="1:7">
      <c r="D592" s="479"/>
      <c r="E592" s="434"/>
      <c r="F592" s="434"/>
    </row>
    <row r="593" spans="1:7" ht="14.25">
      <c r="A593" s="176"/>
      <c r="B593" s="469" t="s">
        <v>309</v>
      </c>
      <c r="D593" s="1277" t="s">
        <v>1223</v>
      </c>
      <c r="E593" s="1277"/>
      <c r="F593" s="1277"/>
    </row>
    <row r="594" spans="1:7">
      <c r="D594" s="1277"/>
      <c r="E594" s="1277"/>
      <c r="F594" s="1277"/>
    </row>
    <row r="595" spans="1:7">
      <c r="D595" s="1277"/>
      <c r="E595" s="1277"/>
      <c r="F595" s="1277"/>
    </row>
    <row r="596" spans="1:7"/>
    <row r="597" spans="1:7">
      <c r="A597" s="1283" t="s">
        <v>1122</v>
      </c>
      <c r="B597" s="1283"/>
      <c r="C597" s="1283"/>
      <c r="D597" s="1283"/>
      <c r="E597" s="1283"/>
      <c r="F597" s="1283"/>
      <c r="G597" s="1283"/>
    </row>
    <row r="598" spans="1:7">
      <c r="A598" s="35"/>
      <c r="B598" s="35"/>
    </row>
    <row r="599" spans="1:7">
      <c r="A599" s="172"/>
      <c r="B599" s="172"/>
      <c r="C599" s="172"/>
      <c r="D599" s="1278" t="s">
        <v>1224</v>
      </c>
      <c r="E599" s="1278"/>
      <c r="F599" s="1278"/>
    </row>
    <row r="600" spans="1:7">
      <c r="A600" s="172"/>
      <c r="B600" s="172"/>
      <c r="C600" s="172"/>
      <c r="D600" s="1278"/>
      <c r="E600" s="1278"/>
      <c r="F600" s="1278"/>
    </row>
    <row r="601" spans="1:7">
      <c r="C601" s="175"/>
      <c r="D601" s="1276" t="s">
        <v>1225</v>
      </c>
      <c r="E601" s="1276"/>
      <c r="F601" s="1276"/>
    </row>
    <row r="602" spans="1:7">
      <c r="C602" s="175"/>
      <c r="D602" s="479"/>
      <c r="E602" s="479"/>
      <c r="F602" s="479"/>
    </row>
    <row r="603" spans="1:7">
      <c r="A603" s="13"/>
      <c r="B603" s="469" t="s">
        <v>309</v>
      </c>
      <c r="D603" s="1276" t="s">
        <v>434</v>
      </c>
      <c r="E603" s="1276"/>
      <c r="F603" s="1276"/>
    </row>
    <row r="604" spans="1:7">
      <c r="C604" s="180"/>
      <c r="E604"/>
    </row>
    <row r="605" spans="1:7">
      <c r="A605" s="13"/>
      <c r="B605" s="469" t="s">
        <v>309</v>
      </c>
      <c r="D605" s="1279" t="s">
        <v>1226</v>
      </c>
      <c r="E605" s="1279"/>
      <c r="F605" s="1279"/>
    </row>
    <row r="606" spans="1:7">
      <c r="D606" s="1279"/>
      <c r="E606" s="1279"/>
      <c r="F606" s="1279"/>
    </row>
    <row r="607" spans="1:7">
      <c r="D607"/>
    </row>
    <row r="608" spans="1:7">
      <c r="B608" s="469" t="s">
        <v>309</v>
      </c>
      <c r="D608" s="1279" t="s">
        <v>1227</v>
      </c>
      <c r="E608" s="1279"/>
      <c r="F608" s="1279"/>
    </row>
    <row r="609" spans="1:7">
      <c r="C609" s="180"/>
      <c r="D609" s="1279"/>
      <c r="E609" s="1279"/>
      <c r="F609" s="1279"/>
    </row>
    <row r="610" spans="1:7">
      <c r="C610" s="180"/>
    </row>
    <row r="611" spans="1:7">
      <c r="B611" s="469" t="s">
        <v>309</v>
      </c>
      <c r="C611" s="180"/>
      <c r="D611" s="1279" t="s">
        <v>1228</v>
      </c>
      <c r="E611" s="1279"/>
      <c r="F611" s="1279"/>
    </row>
    <row r="612" spans="1:7">
      <c r="C612" s="180"/>
      <c r="D612" s="1279"/>
      <c r="E612" s="1279"/>
      <c r="F612" s="1279"/>
    </row>
    <row r="613" spans="1:7">
      <c r="C613" s="180"/>
    </row>
    <row r="614" spans="1:7">
      <c r="A614" s="1283" t="s">
        <v>1123</v>
      </c>
      <c r="B614" s="1283"/>
      <c r="C614" s="1283"/>
      <c r="D614" s="1283"/>
      <c r="E614" s="1283"/>
      <c r="F614" s="1283"/>
      <c r="G614" s="1283"/>
    </row>
    <row r="615" spans="1:7">
      <c r="A615" s="172"/>
      <c r="B615" s="172"/>
      <c r="C615" s="172"/>
    </row>
    <row r="616" spans="1:7">
      <c r="C616" s="13"/>
      <c r="D616" s="1275" t="s">
        <v>1229</v>
      </c>
      <c r="E616" s="1275"/>
      <c r="F616" s="1275"/>
    </row>
    <row r="617" spans="1:7">
      <c r="A617" s="13"/>
      <c r="B617" s="13"/>
      <c r="D617" s="2"/>
    </row>
    <row r="618" spans="1:7" ht="14.25">
      <c r="A618" s="176"/>
      <c r="B618" s="469" t="s">
        <v>309</v>
      </c>
      <c r="D618" s="1277" t="s">
        <v>1230</v>
      </c>
      <c r="E618" s="1277"/>
      <c r="F618" s="1277"/>
    </row>
    <row r="619" spans="1:7">
      <c r="D619" s="1277"/>
      <c r="E619" s="1277"/>
      <c r="F619" s="1277"/>
    </row>
    <row r="620" spans="1:7">
      <c r="D620" s="1277"/>
      <c r="E620" s="1277"/>
      <c r="F620" s="1277"/>
    </row>
    <row r="621" spans="1:7">
      <c r="D621" s="1277"/>
      <c r="E621" s="1277"/>
      <c r="F621" s="1277"/>
    </row>
    <row r="622" spans="1:7">
      <c r="D622" s="1277"/>
      <c r="E622" s="1277"/>
      <c r="F622" s="1277"/>
    </row>
    <row r="623" spans="1:7">
      <c r="D623" s="1277"/>
      <c r="E623" s="1277"/>
      <c r="F623" s="1277"/>
    </row>
    <row r="624" spans="1:7">
      <c r="D624" s="480"/>
      <c r="E624" s="480"/>
      <c r="F624" s="480"/>
    </row>
    <row r="625" spans="1:7" ht="14.25">
      <c r="A625" s="176"/>
      <c r="B625" s="469" t="s">
        <v>309</v>
      </c>
      <c r="D625" s="1277" t="s">
        <v>1231</v>
      </c>
      <c r="E625" s="1277"/>
      <c r="F625" s="1277"/>
    </row>
    <row r="626" spans="1:7">
      <c r="A626" s="179"/>
      <c r="B626" s="179"/>
      <c r="C626" s="179"/>
      <c r="D626" s="1277"/>
      <c r="E626" s="1277"/>
      <c r="F626" s="1277"/>
    </row>
    <row r="627" spans="1:7">
      <c r="A627" s="179"/>
      <c r="B627" s="179"/>
      <c r="C627" s="179"/>
      <c r="D627" s="35"/>
      <c r="E627" s="35"/>
      <c r="F627" s="35"/>
    </row>
    <row r="628" spans="1:7" ht="14.25">
      <c r="A628" s="176"/>
      <c r="B628" s="469" t="s">
        <v>309</v>
      </c>
      <c r="C628" s="179"/>
      <c r="D628" s="1277" t="s">
        <v>1232</v>
      </c>
      <c r="E628" s="1277"/>
      <c r="F628" s="1277"/>
    </row>
    <row r="629" spans="1:7" ht="14.25">
      <c r="A629" s="176"/>
      <c r="B629" s="176"/>
      <c r="C629" s="179"/>
      <c r="D629" s="1277"/>
      <c r="E629" s="1277"/>
      <c r="F629" s="1277"/>
    </row>
    <row r="630" spans="1:7" ht="14.25">
      <c r="A630" s="176"/>
      <c r="B630" s="176"/>
      <c r="C630" s="179"/>
      <c r="D630" s="1277"/>
      <c r="E630" s="1277"/>
      <c r="F630" s="1277"/>
    </row>
    <row r="631" spans="1:7">
      <c r="A631" s="179"/>
      <c r="B631" s="179"/>
      <c r="C631" s="179"/>
      <c r="D631" s="1277"/>
      <c r="E631" s="1277"/>
      <c r="F631" s="1277"/>
    </row>
    <row r="632" spans="1:7">
      <c r="A632" s="179"/>
      <c r="B632" s="179"/>
      <c r="C632" s="179"/>
      <c r="D632" s="480"/>
      <c r="E632" s="480"/>
      <c r="F632" s="480"/>
    </row>
    <row r="633" spans="1:7">
      <c r="A633" s="179"/>
      <c r="B633" s="469" t="s">
        <v>309</v>
      </c>
      <c r="C633" s="179"/>
      <c r="D633" s="1306" t="s">
        <v>1233</v>
      </c>
      <c r="E633" s="1306"/>
      <c r="F633" s="1306"/>
    </row>
    <row r="634" spans="1:7">
      <c r="A634" s="179"/>
      <c r="B634" s="179"/>
      <c r="C634" s="179"/>
      <c r="D634" s="481"/>
      <c r="E634" s="481"/>
      <c r="F634" s="481"/>
    </row>
    <row r="635" spans="1:7">
      <c r="A635" s="1283" t="s">
        <v>1124</v>
      </c>
      <c r="B635" s="1283"/>
      <c r="C635" s="1283"/>
      <c r="D635" s="1283"/>
      <c r="E635" s="1283"/>
      <c r="F635" s="1283"/>
      <c r="G635" s="1283"/>
    </row>
    <row r="636" spans="1:7">
      <c r="A636" s="35"/>
      <c r="B636" s="35"/>
      <c r="C636" s="179"/>
      <c r="D636" s="35"/>
      <c r="E636" s="35"/>
      <c r="F636" s="35"/>
    </row>
    <row r="637" spans="1:7">
      <c r="C637" s="172"/>
      <c r="D637" s="1281" t="s">
        <v>1283</v>
      </c>
      <c r="E637" s="1281"/>
      <c r="F637" s="1281"/>
    </row>
    <row r="638" spans="1:7">
      <c r="A638" s="175"/>
      <c r="B638" s="175"/>
      <c r="C638" s="175"/>
      <c r="D638" s="1282" t="s">
        <v>1284</v>
      </c>
      <c r="E638" s="1282"/>
      <c r="F638" s="1282"/>
    </row>
    <row r="639" spans="1:7">
      <c r="A639" s="175"/>
      <c r="B639" s="175"/>
      <c r="C639" s="175"/>
      <c r="D639" s="118"/>
      <c r="E639" s="118"/>
      <c r="F639" s="118"/>
    </row>
    <row r="640" spans="1:7" ht="14.45" customHeight="1">
      <c r="A640" s="176"/>
      <c r="B640" s="469" t="s">
        <v>309</v>
      </c>
      <c r="C640" s="179"/>
      <c r="D640" s="1262" t="s">
        <v>1285</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296" t="s">
        <v>1135</v>
      </c>
      <c r="E646" s="1296"/>
      <c r="F646" s="1296"/>
    </row>
    <row r="647" spans="1:11" ht="14.25">
      <c r="A647" s="176"/>
      <c r="B647" s="176"/>
      <c r="C647" s="179"/>
      <c r="D647" s="1295" t="s">
        <v>1286</v>
      </c>
      <c r="E647" s="1295"/>
      <c r="F647" s="1295"/>
    </row>
    <row r="648" spans="1:11" ht="14.25">
      <c r="A648" s="176"/>
      <c r="B648" s="176"/>
      <c r="C648" s="179"/>
      <c r="D648" s="1295"/>
      <c r="E648" s="1295"/>
      <c r="F648" s="1295"/>
    </row>
    <row r="649" spans="1:11" ht="14.25">
      <c r="A649" s="176"/>
      <c r="B649" s="176"/>
      <c r="C649" s="179"/>
      <c r="D649" s="1295"/>
      <c r="E649" s="1295"/>
      <c r="F649" s="1295"/>
    </row>
    <row r="650" spans="1:11" ht="14.25">
      <c r="A650" s="176"/>
      <c r="B650" s="176"/>
      <c r="C650" s="179"/>
      <c r="D650" s="1295"/>
      <c r="E650" s="1295"/>
      <c r="F650" s="1295"/>
    </row>
    <row r="651" spans="1:11" ht="14.25">
      <c r="A651" s="176"/>
      <c r="B651" s="176"/>
      <c r="C651" s="179"/>
      <c r="D651" s="1295"/>
      <c r="E651" s="1295"/>
      <c r="F651" s="1295"/>
    </row>
    <row r="652" spans="1:11" ht="14.25">
      <c r="A652" s="176"/>
      <c r="B652" s="176"/>
      <c r="C652" s="179"/>
      <c r="D652" s="1297" t="s">
        <v>1287</v>
      </c>
      <c r="E652" s="1297"/>
      <c r="F652" s="1297"/>
    </row>
    <row r="653" spans="1:11">
      <c r="A653" s="179"/>
      <c r="B653" s="179"/>
      <c r="C653" s="179"/>
      <c r="D653" s="35"/>
      <c r="E653" s="35"/>
      <c r="F653" s="35"/>
    </row>
    <row r="654" spans="1:11">
      <c r="A654" s="1283" t="s">
        <v>1125</v>
      </c>
      <c r="B654" s="1283"/>
      <c r="C654" s="1283"/>
      <c r="D654" s="1283"/>
      <c r="E654" s="1283"/>
      <c r="F654" s="1283"/>
      <c r="G654" s="1283"/>
      <c r="H654" s="181"/>
      <c r="I654" s="181"/>
      <c r="J654" s="181"/>
      <c r="K654" s="181"/>
    </row>
    <row r="655" spans="1:11">
      <c r="A655" s="483"/>
      <c r="B655" s="483"/>
      <c r="C655" s="483"/>
      <c r="D655" s="483"/>
      <c r="E655" s="483"/>
      <c r="F655" s="483"/>
      <c r="G655" s="483"/>
      <c r="H655" s="181"/>
      <c r="I655" s="181"/>
      <c r="J655" s="181"/>
      <c r="K655" s="181"/>
    </row>
    <row r="656" spans="1:11">
      <c r="C656" s="172"/>
      <c r="D656" s="1281" t="s">
        <v>100</v>
      </c>
      <c r="E656" s="1281"/>
      <c r="F656" s="1281"/>
      <c r="H656" s="181"/>
      <c r="I656" s="181"/>
      <c r="J656" s="181"/>
      <c r="K656" s="181"/>
    </row>
    <row r="657" spans="1:11">
      <c r="A657" s="172"/>
      <c r="B657" s="172"/>
      <c r="C657" s="172"/>
      <c r="D657" s="1281" t="s">
        <v>124</v>
      </c>
      <c r="E657" s="1281"/>
      <c r="F657" s="1281"/>
      <c r="H657" s="181"/>
      <c r="I657" s="181"/>
      <c r="J657" s="181"/>
      <c r="K657" s="181"/>
    </row>
    <row r="658" spans="1:11">
      <c r="A658" s="175"/>
      <c r="B658" s="175"/>
      <c r="C658" s="175"/>
      <c r="D658" s="1282" t="s">
        <v>1161</v>
      </c>
      <c r="E658" s="1282"/>
      <c r="F658" s="1282"/>
      <c r="H658" s="181"/>
      <c r="I658" s="181"/>
      <c r="J658" s="181"/>
      <c r="K658" s="181"/>
    </row>
    <row r="659" spans="1:11">
      <c r="A659" s="175"/>
      <c r="B659" s="175"/>
      <c r="C659" s="175"/>
      <c r="H659" s="181"/>
      <c r="I659" s="181"/>
      <c r="J659" s="181"/>
      <c r="K659" s="181"/>
    </row>
    <row r="660" spans="1:11" ht="14.25">
      <c r="A660" s="176"/>
      <c r="B660" s="469" t="s">
        <v>309</v>
      </c>
      <c r="C660" s="175"/>
      <c r="D660" s="1282" t="s">
        <v>916</v>
      </c>
      <c r="E660" s="1282"/>
      <c r="F660" s="1282"/>
      <c r="H660" s="181"/>
      <c r="I660" s="181"/>
      <c r="J660" s="181"/>
      <c r="K660" s="181"/>
    </row>
    <row r="661" spans="1:11">
      <c r="A661" s="175"/>
      <c r="B661" s="175"/>
      <c r="C661" s="175"/>
      <c r="D661" s="1282" t="s">
        <v>927</v>
      </c>
      <c r="E661" s="1282"/>
      <c r="F661" s="1282"/>
      <c r="H661" s="181"/>
      <c r="I661" s="181"/>
      <c r="J661" s="181"/>
      <c r="K661" s="181"/>
    </row>
    <row r="662" spans="1:11">
      <c r="A662" s="175"/>
      <c r="B662" s="175"/>
      <c r="C662" s="175"/>
      <c r="D662" s="3"/>
      <c r="E662" s="1266" t="s">
        <v>1162</v>
      </c>
      <c r="F662" s="1266"/>
      <c r="H662" s="181"/>
      <c r="I662" s="181"/>
      <c r="J662" s="181"/>
      <c r="K662" s="181"/>
    </row>
    <row r="663" spans="1:11">
      <c r="A663" s="175"/>
      <c r="B663" s="175"/>
      <c r="C663" s="175"/>
      <c r="D663" s="3"/>
      <c r="E663" s="1266"/>
      <c r="F663" s="1266"/>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82" t="s">
        <v>955</v>
      </c>
      <c r="E669" s="1282"/>
      <c r="F669" s="1282"/>
      <c r="H669" s="181"/>
      <c r="I669" s="181"/>
      <c r="J669" s="181"/>
      <c r="K669" s="181"/>
    </row>
    <row r="670" spans="1:11" ht="14.25">
      <c r="A670" s="176"/>
      <c r="B670" s="176"/>
      <c r="C670" s="175"/>
      <c r="D670" s="1282" t="s">
        <v>927</v>
      </c>
      <c r="E670" s="1282"/>
      <c r="F670" s="1282"/>
      <c r="H670" s="181"/>
      <c r="I670" s="181"/>
      <c r="J670" s="181"/>
      <c r="K670" s="181"/>
    </row>
    <row r="671" spans="1:11">
      <c r="A671" s="175"/>
      <c r="B671" s="175"/>
      <c r="C671" s="175"/>
      <c r="D671" s="3"/>
      <c r="E671" s="1287" t="s">
        <v>1164</v>
      </c>
      <c r="F671" s="1287"/>
      <c r="H671" s="181"/>
      <c r="I671" s="181"/>
      <c r="J671" s="181"/>
      <c r="K671" s="181"/>
    </row>
    <row r="672" spans="1:11">
      <c r="A672" s="175"/>
      <c r="B672" s="175"/>
      <c r="C672" s="175"/>
      <c r="D672" s="2"/>
      <c r="H672" s="181"/>
      <c r="I672" s="181"/>
      <c r="J672" s="181"/>
      <c r="K672" s="181"/>
    </row>
    <row r="673" spans="1:11" ht="14.25">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289" t="s">
        <v>1169</v>
      </c>
      <c r="E724" s="1289"/>
      <c r="F724" s="1289"/>
      <c r="H724" s="181"/>
      <c r="I724" s="181"/>
      <c r="J724" s="181"/>
      <c r="K724" s="181"/>
    </row>
    <row r="725" spans="1:11">
      <c r="A725" s="175"/>
      <c r="B725" s="175"/>
      <c r="C725" s="175"/>
      <c r="D725" s="370"/>
      <c r="H725" s="181"/>
      <c r="I725" s="181"/>
      <c r="J725" s="181"/>
      <c r="K725" s="181"/>
    </row>
    <row r="726" spans="1:11">
      <c r="A726" s="1284" t="s">
        <v>1126</v>
      </c>
      <c r="B726" s="1284"/>
      <c r="C726" s="1284"/>
      <c r="D726" s="1284"/>
      <c r="E726" s="1284"/>
      <c r="F726" s="1284"/>
      <c r="G726" s="1284"/>
      <c r="H726" s="181"/>
      <c r="I726" s="181"/>
      <c r="J726" s="181"/>
      <c r="K726" s="181"/>
    </row>
    <row r="727" spans="1:11">
      <c r="A727" s="175"/>
      <c r="B727" s="175"/>
      <c r="C727" s="175"/>
      <c r="D727" s="178"/>
      <c r="G727" s="183"/>
      <c r="H727" s="181"/>
      <c r="I727" s="181"/>
      <c r="J727" s="181"/>
      <c r="K727" s="181"/>
    </row>
    <row r="728" spans="1:11" ht="13.15" customHeight="1">
      <c r="C728" s="175"/>
      <c r="D728" s="1294" t="s">
        <v>1142</v>
      </c>
      <c r="E728" s="1294"/>
      <c r="F728" s="1294"/>
      <c r="G728" s="183"/>
      <c r="H728" s="181"/>
      <c r="I728" s="181"/>
      <c r="J728" s="181"/>
      <c r="K728" s="181"/>
    </row>
    <row r="729" spans="1:11">
      <c r="A729" s="175"/>
      <c r="B729" s="175"/>
      <c r="C729" s="175"/>
      <c r="D729" s="1286" t="s">
        <v>1143</v>
      </c>
      <c r="E729" s="1286"/>
      <c r="F729" s="1286"/>
      <c r="G729" s="183"/>
      <c r="H729" s="181"/>
      <c r="I729" s="181"/>
      <c r="J729" s="181"/>
      <c r="K729" s="181"/>
    </row>
    <row r="730" spans="1:11">
      <c r="A730" s="175"/>
      <c r="B730" s="175"/>
      <c r="C730" s="175"/>
      <c r="G730" s="183"/>
      <c r="H730" s="181"/>
      <c r="I730" s="181"/>
      <c r="J730" s="181"/>
      <c r="K730" s="181"/>
    </row>
    <row r="731" spans="1:11" ht="14.25">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295" t="s">
        <v>1146</v>
      </c>
      <c r="E743" s="1295"/>
      <c r="F743" s="1295"/>
      <c r="G743" s="210"/>
    </row>
    <row r="744" spans="1:11" s="274" customFormat="1">
      <c r="A744" s="273"/>
      <c r="B744" s="273"/>
      <c r="C744" s="273"/>
      <c r="D744" s="1295"/>
      <c r="E744" s="1295"/>
      <c r="F744" s="1295"/>
      <c r="G744" s="210"/>
    </row>
    <row r="745" spans="1:11" s="274" customFormat="1">
      <c r="A745" s="273"/>
      <c r="B745" s="273"/>
      <c r="C745" s="273"/>
      <c r="D745" s="1295"/>
      <c r="E745" s="1295"/>
      <c r="F745" s="1295"/>
      <c r="G745" s="210"/>
    </row>
    <row r="746" spans="1:11">
      <c r="D746" s="255"/>
      <c r="E746" s="35"/>
      <c r="F746" s="35"/>
      <c r="G746" s="183"/>
      <c r="H746" s="181"/>
      <c r="I746" s="181"/>
      <c r="J746" s="181"/>
      <c r="K746" s="181"/>
    </row>
    <row r="747" spans="1:11" ht="14.25">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83" t="s">
        <v>1149</v>
      </c>
      <c r="B754" s="1283"/>
      <c r="C754" s="1283"/>
      <c r="D754" s="1283"/>
      <c r="E754" s="1283"/>
      <c r="F754" s="1283"/>
      <c r="G754" s="1283"/>
    </row>
    <row r="755" spans="1:11">
      <c r="A755" s="175"/>
      <c r="B755" s="175"/>
      <c r="C755" s="175"/>
      <c r="D755" s="184"/>
      <c r="F755" s="35"/>
      <c r="G755" s="183"/>
    </row>
    <row r="756" spans="1:11">
      <c r="D756" s="1291" t="s">
        <v>1133</v>
      </c>
      <c r="E756" s="1291"/>
      <c r="F756" s="1291"/>
      <c r="G756" s="183"/>
    </row>
    <row r="757" spans="1:11">
      <c r="A757" s="346"/>
      <c r="B757" s="346"/>
      <c r="C757" s="346"/>
      <c r="D757" s="1292" t="s">
        <v>1150</v>
      </c>
      <c r="E757" s="1292"/>
      <c r="F757" s="1292"/>
      <c r="G757" s="183"/>
    </row>
    <row r="758" spans="1:11">
      <c r="D758" s="434"/>
      <c r="E758" s="434"/>
      <c r="F758" s="434"/>
      <c r="G758" s="183"/>
    </row>
    <row r="759" spans="1:11" ht="14.25">
      <c r="A759" s="176"/>
      <c r="B759" s="469" t="s">
        <v>309</v>
      </c>
      <c r="D759" s="1292" t="s">
        <v>1027</v>
      </c>
      <c r="E759" s="1292"/>
      <c r="F759" s="1292"/>
      <c r="G759" s="183"/>
    </row>
    <row r="760" spans="1:11">
      <c r="D760" s="434"/>
      <c r="E760" s="1293" t="s">
        <v>1134</v>
      </c>
      <c r="F760" s="1293"/>
      <c r="G760" s="183"/>
    </row>
    <row r="761" spans="1:11">
      <c r="A761" s="172"/>
      <c r="B761" s="172"/>
      <c r="C761" s="172"/>
      <c r="D761" s="35"/>
      <c r="G761" s="183"/>
    </row>
    <row r="762" spans="1:11">
      <c r="A762" s="1290" t="s">
        <v>451</v>
      </c>
      <c r="B762" s="1290"/>
      <c r="C762" s="1290"/>
      <c r="D762" s="1290"/>
      <c r="E762" s="1290"/>
      <c r="F762" s="1290"/>
      <c r="G762" s="1290"/>
    </row>
    <row r="763" spans="1:11">
      <c r="A763" s="172"/>
      <c r="B763" s="172"/>
      <c r="C763" s="179"/>
      <c r="D763" s="183"/>
      <c r="E763" s="183"/>
      <c r="F763" s="183"/>
      <c r="G763" s="183"/>
    </row>
    <row r="764" spans="1:11">
      <c r="A764" s="35"/>
      <c r="B764" s="1286" t="s">
        <v>1026</v>
      </c>
      <c r="C764" s="1286"/>
      <c r="D764" s="1286"/>
      <c r="E764" s="1286"/>
      <c r="F764" s="1286"/>
      <c r="G764" s="183"/>
    </row>
    <row r="765" spans="1:11">
      <c r="A765" s="13"/>
      <c r="B765" s="13"/>
      <c r="G765" s="183"/>
    </row>
    <row r="766" spans="1:11">
      <c r="A766" s="1290" t="s">
        <v>452</v>
      </c>
      <c r="B766" s="1290"/>
      <c r="C766" s="1290"/>
      <c r="D766" s="1290"/>
      <c r="E766" s="1290"/>
      <c r="F766" s="1290"/>
      <c r="G766" s="1290"/>
    </row>
    <row r="767" spans="1:11">
      <c r="A767" s="172"/>
      <c r="B767" s="172"/>
      <c r="C767" s="172"/>
      <c r="D767" s="178"/>
      <c r="G767" s="183"/>
    </row>
    <row r="768" spans="1:11">
      <c r="A768" s="35"/>
      <c r="B768" s="1282" t="s">
        <v>450</v>
      </c>
      <c r="C768" s="1282"/>
      <c r="D768" s="1282"/>
      <c r="E768" s="1282"/>
      <c r="F768" s="1282"/>
      <c r="G768" s="183"/>
    </row>
    <row r="769" spans="1:7" ht="14.25">
      <c r="A769" s="176"/>
      <c r="B769" s="176"/>
      <c r="D769" s="35"/>
      <c r="E769" s="35"/>
      <c r="F769" s="183"/>
      <c r="G769" s="183"/>
    </row>
    <row r="770" spans="1:7">
      <c r="A770" s="1290" t="s">
        <v>453</v>
      </c>
      <c r="B770" s="1290"/>
      <c r="C770" s="1290"/>
      <c r="D770" s="1290"/>
      <c r="E770" s="1290"/>
      <c r="F770" s="1290"/>
      <c r="G770" s="1290"/>
    </row>
    <row r="771" spans="1:7">
      <c r="C771" s="175"/>
      <c r="D771" s="173"/>
      <c r="E771" s="35"/>
      <c r="F771" s="183"/>
      <c r="G771" s="183"/>
    </row>
    <row r="772" spans="1:7">
      <c r="A772" s="35"/>
      <c r="B772" s="1282" t="s">
        <v>450</v>
      </c>
      <c r="C772" s="1282"/>
      <c r="D772" s="1282"/>
      <c r="E772" s="1282"/>
      <c r="F772" s="1282"/>
      <c r="G772" s="183"/>
    </row>
    <row r="773" spans="1:7">
      <c r="A773" s="35"/>
      <c r="B773" s="35"/>
      <c r="C773" s="179"/>
      <c r="D773" s="183"/>
      <c r="E773" s="183"/>
      <c r="F773" s="183"/>
      <c r="G773" s="183"/>
    </row>
    <row r="774" spans="1:7">
      <c r="A774" s="1290" t="s">
        <v>454</v>
      </c>
      <c r="B774" s="1290"/>
      <c r="C774" s="1290"/>
      <c r="D774" s="1290"/>
      <c r="E774" s="1290"/>
      <c r="F774" s="1290"/>
      <c r="G774" s="1290"/>
    </row>
    <row r="775" spans="1:7">
      <c r="A775" s="35"/>
      <c r="B775" s="35"/>
    </row>
    <row r="776" spans="1:7">
      <c r="A776" s="35"/>
      <c r="B776" s="1282" t="s">
        <v>450</v>
      </c>
      <c r="C776" s="1282"/>
      <c r="D776" s="1282"/>
      <c r="E776" s="1282"/>
      <c r="F776" s="1282"/>
    </row>
    <row r="777" spans="1:7">
      <c r="A777" s="179"/>
      <c r="B777" s="179"/>
      <c r="C777" s="179"/>
      <c r="D777" s="174"/>
      <c r="F777" s="183"/>
    </row>
    <row r="778" spans="1:7">
      <c r="A778" s="1290" t="s">
        <v>455</v>
      </c>
      <c r="B778" s="1290"/>
      <c r="C778" s="1290"/>
      <c r="D778" s="1290"/>
      <c r="E778" s="1290"/>
      <c r="F778" s="1290"/>
      <c r="G778" s="1290"/>
    </row>
    <row r="779" spans="1:7">
      <c r="A779" s="35"/>
      <c r="B779" s="35"/>
    </row>
    <row r="780" spans="1:7">
      <c r="A780" s="35"/>
      <c r="B780" s="1282" t="s">
        <v>450</v>
      </c>
      <c r="C780" s="1282"/>
      <c r="D780" s="1282"/>
      <c r="E780" s="1282"/>
      <c r="F780" s="1282"/>
    </row>
    <row r="781" spans="1:7">
      <c r="A781" s="179"/>
      <c r="B781" s="179"/>
      <c r="C781" s="179"/>
      <c r="D781" s="174"/>
      <c r="F781" s="183"/>
    </row>
    <row r="782" spans="1:7">
      <c r="A782" s="1290" t="s">
        <v>456</v>
      </c>
      <c r="B782" s="1290"/>
      <c r="C782" s="1290"/>
      <c r="D782" s="1290"/>
      <c r="E782" s="1290"/>
      <c r="F782" s="1290"/>
      <c r="G782" s="1290"/>
    </row>
    <row r="783" spans="1:7">
      <c r="A783" s="35"/>
      <c r="B783" s="35"/>
    </row>
    <row r="784" spans="1:7">
      <c r="A784" s="35"/>
      <c r="B784" s="1282" t="s">
        <v>450</v>
      </c>
      <c r="C784" s="1282"/>
      <c r="D784" s="1282"/>
      <c r="E784" s="1282"/>
      <c r="F784" s="1282"/>
    </row>
    <row r="785" spans="1:7">
      <c r="D785" s="174"/>
    </row>
    <row r="786" spans="1:7">
      <c r="A786" s="1290" t="s">
        <v>188</v>
      </c>
      <c r="B786" s="1290"/>
      <c r="C786" s="1290"/>
      <c r="D786" s="1290"/>
      <c r="E786" s="1290"/>
      <c r="F786" s="1290"/>
      <c r="G786" s="1290"/>
    </row>
    <row r="787" spans="1:7">
      <c r="A787" s="35"/>
      <c r="B787" s="35"/>
    </row>
    <row r="788" spans="1:7">
      <c r="A788" s="35"/>
      <c r="B788" s="1282" t="s">
        <v>450</v>
      </c>
      <c r="C788" s="1282"/>
      <c r="D788" s="1282"/>
      <c r="E788" s="1282"/>
      <c r="F788" s="1282"/>
    </row>
    <row r="789" spans="1:7">
      <c r="A789" s="35"/>
      <c r="B789" s="35"/>
      <c r="D789" s="174"/>
    </row>
    <row r="790" spans="1:7">
      <c r="A790" s="1290" t="s">
        <v>903</v>
      </c>
      <c r="B790" s="1290"/>
      <c r="C790" s="1290"/>
      <c r="D790" s="1290"/>
      <c r="E790" s="1290"/>
      <c r="F790" s="1290"/>
      <c r="G790" s="1290"/>
    </row>
    <row r="791" spans="1:7">
      <c r="A791" s="35"/>
      <c r="B791" s="35"/>
    </row>
    <row r="792" spans="1:7">
      <c r="A792" s="35"/>
      <c r="B792" s="1282" t="s">
        <v>450</v>
      </c>
      <c r="C792" s="1282"/>
      <c r="D792" s="1282"/>
      <c r="E792" s="1282"/>
      <c r="F792" s="1282"/>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5" t="s">
        <v>2136</v>
      </c>
      <c r="B2" s="1316"/>
      <c r="C2" s="1316"/>
      <c r="D2" s="1316"/>
      <c r="E2" s="1316"/>
      <c r="F2" s="1316"/>
      <c r="G2" s="1316"/>
      <c r="H2" s="1316"/>
      <c r="I2" s="1316"/>
      <c r="J2" s="1316"/>
    </row>
    <row r="3" spans="1:10" ht="15">
      <c r="A3" s="1319" t="s">
        <v>1428</v>
      </c>
      <c r="B3" s="1320"/>
      <c r="C3" s="1320"/>
      <c r="D3" s="1320"/>
      <c r="E3" s="1320"/>
      <c r="F3" s="1320"/>
      <c r="G3" s="1320"/>
      <c r="H3" s="1320"/>
      <c r="I3" s="1320"/>
      <c r="J3" s="1320"/>
    </row>
    <row r="4" spans="1:10" ht="12.75"/>
    <row r="5" spans="1:10" ht="12.75" customHeight="1">
      <c r="A5" s="1317" t="s">
        <v>2441</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21" t="s">
        <v>2141</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0" t="s">
        <v>1333</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1334</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2137</v>
      </c>
      <c r="B72" s="1318"/>
      <c r="C72" s="1318"/>
      <c r="D72" s="1318"/>
      <c r="E72" s="1318"/>
      <c r="F72" s="1318"/>
      <c r="G72" s="1318"/>
      <c r="H72" s="1318"/>
      <c r="I72" s="1318"/>
    </row>
    <row r="73" spans="1:9" ht="12.75">
      <c r="A73" s="1269" t="s">
        <v>2439</v>
      </c>
      <c r="B73" s="1269"/>
      <c r="C73" s="1269"/>
      <c r="D73" s="1269"/>
      <c r="E73" s="1269"/>
    </row>
    <row r="74" spans="1:9" ht="12.75">
      <c r="A74" s="1269" t="s">
        <v>2440</v>
      </c>
      <c r="B74" s="1269"/>
      <c r="C74" s="1269"/>
      <c r="D74" s="1269"/>
      <c r="E74" s="1269"/>
    </row>
    <row r="75" spans="1:9" ht="12.75">
      <c r="A75" s="1269" t="s">
        <v>2138</v>
      </c>
      <c r="B75" s="1269"/>
      <c r="C75" s="1269"/>
      <c r="D75" s="1269"/>
      <c r="E75" s="12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105" sqref="B110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2" t="s">
        <v>2607</v>
      </c>
      <c r="B2" s="1322"/>
      <c r="C2" s="1322"/>
      <c r="D2" s="1322"/>
      <c r="E2" s="1322"/>
      <c r="F2" s="1322"/>
      <c r="G2" s="1322"/>
      <c r="H2" s="1322"/>
      <c r="I2" s="1322"/>
    </row>
    <row r="3" spans="1:13">
      <c r="A3" s="1323" t="s">
        <v>2004</v>
      </c>
      <c r="B3" s="1323"/>
      <c r="C3" s="1323"/>
      <c r="D3" s="1323"/>
      <c r="E3" s="1323"/>
      <c r="F3" s="1323"/>
      <c r="G3" s="1323"/>
      <c r="H3" s="1323"/>
      <c r="I3" s="1323"/>
    </row>
    <row r="4" spans="1:13">
      <c r="A4" s="1323"/>
      <c r="B4" s="1323"/>
      <c r="C4" s="1320"/>
      <c r="D4" s="1320"/>
      <c r="E4" s="1320"/>
      <c r="F4" s="1320"/>
      <c r="G4" s="1320"/>
    </row>
    <row r="5" spans="1:13">
      <c r="A5" s="1323"/>
      <c r="B5" s="1323"/>
      <c r="C5" s="1320"/>
      <c r="D5" s="1320"/>
      <c r="E5" s="1320"/>
      <c r="F5" s="1320"/>
      <c r="G5" s="1320"/>
    </row>
    <row r="6" spans="1:13">
      <c r="A6" s="1322" t="s">
        <v>1203</v>
      </c>
      <c r="B6" s="1322"/>
      <c r="C6" s="1334"/>
      <c r="D6" s="1334"/>
      <c r="E6" s="1334"/>
      <c r="F6" s="1334"/>
      <c r="G6" s="1334"/>
      <c r="I6" s="525" t="s">
        <v>2147</v>
      </c>
    </row>
    <row r="7" spans="1:13">
      <c r="A7" s="1322" t="s">
        <v>1204</v>
      </c>
      <c r="B7" s="1322"/>
      <c r="C7" s="1334"/>
      <c r="D7" s="1334"/>
      <c r="E7" s="1334"/>
      <c r="F7" s="1334"/>
      <c r="G7" s="1334"/>
      <c r="I7" s="525" t="s">
        <v>2148</v>
      </c>
    </row>
    <row r="8" spans="1:13">
      <c r="A8" s="516"/>
      <c r="B8" s="516"/>
      <c r="C8" s="517"/>
      <c r="D8" s="517"/>
      <c r="E8" s="517"/>
      <c r="F8" s="517"/>
    </row>
    <row r="9" spans="1:13">
      <c r="A9" s="1283" t="s">
        <v>1206</v>
      </c>
      <c r="B9" s="1283"/>
      <c r="C9" s="1283"/>
      <c r="D9" s="1283"/>
      <c r="E9" s="1283"/>
      <c r="F9" s="1283"/>
      <c r="G9" s="1283"/>
      <c r="H9" s="1068"/>
      <c r="I9" s="1069"/>
    </row>
    <row r="10" spans="1:13">
      <c r="A10" s="517"/>
      <c r="B10" s="517"/>
      <c r="E10" s="436"/>
    </row>
    <row r="11" spans="1:13" ht="13.7" customHeight="1">
      <c r="C11" s="517"/>
      <c r="D11" s="1335" t="s">
        <v>1205</v>
      </c>
      <c r="E11" s="1335"/>
      <c r="F11" s="1335"/>
    </row>
    <row r="12" spans="1:13">
      <c r="C12" s="517"/>
      <c r="D12" s="1335"/>
      <c r="E12" s="1335"/>
      <c r="F12" s="1335"/>
    </row>
    <row r="13" spans="1:13">
      <c r="A13" s="518"/>
      <c r="B13" s="518"/>
      <c r="C13" s="518"/>
      <c r="D13" s="1306" t="s">
        <v>1188</v>
      </c>
      <c r="E13" s="1306"/>
      <c r="F13" s="1306"/>
      <c r="M13" s="96"/>
    </row>
    <row r="14" spans="1:13">
      <c r="A14" s="518"/>
      <c r="B14" s="518"/>
      <c r="C14" s="518"/>
      <c r="D14" s="511"/>
      <c r="L14" s="336"/>
    </row>
    <row r="15" spans="1:13" ht="14.25">
      <c r="A15" s="519"/>
      <c r="B15" s="520" t="s">
        <v>2779</v>
      </c>
      <c r="C15" s="518"/>
      <c r="D15" s="1277" t="s">
        <v>2300</v>
      </c>
      <c r="E15" s="1277"/>
      <c r="F15" s="1277"/>
      <c r="I15" s="436" t="s">
        <v>2149</v>
      </c>
    </row>
    <row r="16" spans="1:13">
      <c r="A16" s="518"/>
      <c r="B16" s="518"/>
      <c r="C16" s="518"/>
      <c r="D16" s="1277"/>
      <c r="E16" s="1277"/>
      <c r="F16" s="1277"/>
    </row>
    <row r="17" spans="1:9">
      <c r="A17" s="518"/>
      <c r="B17" s="518"/>
      <c r="C17" s="518"/>
      <c r="D17" s="1277"/>
      <c r="E17" s="1277"/>
      <c r="F17" s="1277"/>
    </row>
    <row r="18" spans="1:9">
      <c r="A18" s="518"/>
      <c r="B18" s="518"/>
      <c r="C18" s="518"/>
      <c r="D18" s="480"/>
      <c r="E18" s="336" t="s">
        <v>2298</v>
      </c>
      <c r="F18" s="480"/>
    </row>
    <row r="19" spans="1:9">
      <c r="A19" s="518"/>
      <c r="B19" s="518"/>
      <c r="C19" s="518"/>
    </row>
    <row r="20" spans="1:9" ht="14.25">
      <c r="A20" s="519"/>
      <c r="B20" s="520" t="s">
        <v>2779</v>
      </c>
      <c r="D20" s="1277" t="s">
        <v>2301</v>
      </c>
      <c r="E20" s="1277"/>
      <c r="F20" s="1277"/>
      <c r="I20" s="436" t="s">
        <v>2150</v>
      </c>
    </row>
    <row r="21" spans="1:9" ht="14.25">
      <c r="A21" s="519"/>
      <c r="D21" s="1277"/>
      <c r="E21" s="1277"/>
      <c r="F21" s="1277"/>
    </row>
    <row r="22" spans="1:9" ht="14.25">
      <c r="A22" s="519"/>
      <c r="D22" s="424"/>
      <c r="E22" s="96" t="s">
        <v>2297</v>
      </c>
      <c r="F22" s="424"/>
    </row>
    <row r="23" spans="1:9" ht="14.25">
      <c r="A23" s="519"/>
      <c r="B23" s="519"/>
      <c r="D23" s="481"/>
    </row>
    <row r="24" spans="1:9" ht="14.25">
      <c r="A24" s="519"/>
      <c r="B24" s="520" t="s">
        <v>2780</v>
      </c>
      <c r="D24" s="1277" t="s">
        <v>1191</v>
      </c>
      <c r="E24" s="1277"/>
      <c r="F24" s="1277"/>
      <c r="I24" s="436" t="s">
        <v>2150</v>
      </c>
    </row>
    <row r="25" spans="1:9" ht="14.25">
      <c r="A25" s="519"/>
      <c r="B25" s="519"/>
      <c r="D25" s="1277"/>
      <c r="E25" s="1277"/>
      <c r="F25" s="1277"/>
    </row>
    <row r="26" spans="1:9"/>
    <row r="27" spans="1:9" ht="14.25">
      <c r="A27" s="519"/>
      <c r="B27" s="520" t="s">
        <v>2779</v>
      </c>
      <c r="D27" s="1277" t="s">
        <v>2442</v>
      </c>
      <c r="E27" s="1277"/>
      <c r="F27" s="1277"/>
      <c r="I27" s="436" t="s">
        <v>2153</v>
      </c>
    </row>
    <row r="28" spans="1:9">
      <c r="D28" s="1277"/>
      <c r="E28" s="1277"/>
      <c r="F28" s="1277"/>
    </row>
    <row r="29" spans="1:9">
      <c r="D29" s="1277"/>
      <c r="E29" s="1277"/>
      <c r="F29" s="1277"/>
    </row>
    <row r="30" spans="1:9">
      <c r="D30" s="1277"/>
      <c r="E30" s="1277"/>
      <c r="F30" s="1277"/>
    </row>
    <row r="31" spans="1:9">
      <c r="D31" s="1277"/>
      <c r="E31" s="1277"/>
      <c r="F31" s="1277"/>
    </row>
    <row r="32" spans="1:9">
      <c r="D32" s="482"/>
    </row>
    <row r="33" spans="1:9">
      <c r="B33" s="520" t="s">
        <v>2780</v>
      </c>
      <c r="D33" s="1277" t="s">
        <v>2443</v>
      </c>
      <c r="E33" s="1277"/>
      <c r="F33" s="1277"/>
      <c r="I33" s="436" t="s">
        <v>2149</v>
      </c>
    </row>
    <row r="34" spans="1:9">
      <c r="D34" s="1277"/>
      <c r="E34" s="1277"/>
      <c r="F34" s="1277"/>
    </row>
    <row r="35" spans="1:9" ht="14.25">
      <c r="A35" s="519"/>
      <c r="B35" s="519"/>
      <c r="D35" s="482"/>
    </row>
    <row r="36" spans="1:9" ht="14.45" customHeight="1">
      <c r="A36" s="519"/>
      <c r="B36" s="520" t="s">
        <v>2780</v>
      </c>
      <c r="D36" s="1277" t="s">
        <v>1358</v>
      </c>
      <c r="E36" s="1277"/>
      <c r="F36" s="1277"/>
      <c r="I36" s="436" t="s">
        <v>2220</v>
      </c>
    </row>
    <row r="37" spans="1:9" ht="14.25">
      <c r="A37" s="519"/>
      <c r="B37" s="519"/>
      <c r="D37" s="1277"/>
      <c r="E37" s="1277"/>
      <c r="F37" s="1277"/>
    </row>
    <row r="38" spans="1:9" ht="14.25">
      <c r="A38" s="519"/>
      <c r="B38" s="519"/>
      <c r="D38" s="1277"/>
      <c r="E38" s="1277"/>
      <c r="F38" s="1277"/>
    </row>
    <row r="39" spans="1:9" ht="14.25">
      <c r="A39" s="519"/>
      <c r="B39" s="519"/>
      <c r="D39" s="1277"/>
      <c r="E39" s="1277"/>
      <c r="F39" s="1277"/>
    </row>
    <row r="40" spans="1:9" ht="14.25">
      <c r="A40" s="519"/>
      <c r="B40" s="519"/>
    </row>
    <row r="41" spans="1:9" ht="14.25">
      <c r="A41" s="519"/>
      <c r="B41" s="520" t="s">
        <v>2780</v>
      </c>
      <c r="D41" s="1277" t="s">
        <v>1195</v>
      </c>
      <c r="E41" s="1277"/>
      <c r="F41" s="1277"/>
    </row>
    <row r="42" spans="1:9" ht="14.25">
      <c r="A42" s="519"/>
      <c r="B42" s="519"/>
      <c r="D42" s="1277"/>
      <c r="E42" s="1277"/>
      <c r="F42" s="1277"/>
    </row>
    <row r="43" spans="1:9" ht="14.25">
      <c r="A43" s="519"/>
      <c r="B43" s="519"/>
      <c r="D43" s="1277"/>
      <c r="E43" s="1277"/>
      <c r="F43" s="1277"/>
    </row>
    <row r="44" spans="1:9" ht="14.25">
      <c r="A44" s="519"/>
      <c r="B44" s="519"/>
      <c r="D44" s="1277"/>
      <c r="E44" s="1277"/>
      <c r="F44" s="1277"/>
    </row>
    <row r="45" spans="1:9" ht="14.25">
      <c r="A45" s="519"/>
      <c r="B45" s="519"/>
      <c r="D45" s="1277"/>
      <c r="E45" s="1277"/>
      <c r="F45" s="1277"/>
    </row>
    <row r="46" spans="1:9" ht="14.25">
      <c r="A46" s="519"/>
      <c r="B46" s="519"/>
      <c r="D46" s="480"/>
      <c r="E46" s="480"/>
      <c r="F46" s="480"/>
    </row>
    <row r="47" spans="1:9" ht="14.25">
      <c r="A47" s="519"/>
      <c r="B47" s="520" t="s">
        <v>2780</v>
      </c>
      <c r="D47" s="1277" t="s">
        <v>1196</v>
      </c>
      <c r="E47" s="1277"/>
      <c r="F47" s="1277"/>
      <c r="I47" s="436" t="s">
        <v>2220</v>
      </c>
    </row>
    <row r="48" spans="1:9" ht="14.25">
      <c r="A48" s="519"/>
      <c r="B48" s="519"/>
      <c r="D48" s="1277"/>
      <c r="E48" s="1277"/>
      <c r="F48" s="1277"/>
    </row>
    <row r="49" spans="1:9" ht="14.25">
      <c r="A49" s="519"/>
      <c r="B49" s="519"/>
      <c r="D49" s="1277"/>
      <c r="E49" s="1277"/>
      <c r="F49" s="1277"/>
    </row>
    <row r="50" spans="1:9" ht="23.25" customHeight="1">
      <c r="A50" s="519"/>
      <c r="B50" s="519"/>
      <c r="D50" s="1277"/>
      <c r="E50" s="1277"/>
      <c r="F50" s="1277"/>
    </row>
    <row r="51" spans="1:9" ht="14.25">
      <c r="A51" s="519"/>
      <c r="B51" s="519"/>
      <c r="D51" s="481"/>
    </row>
    <row r="52" spans="1:9" ht="14.45" customHeight="1">
      <c r="A52" s="519"/>
      <c r="B52" s="520" t="s">
        <v>2780</v>
      </c>
      <c r="D52" s="1277" t="s">
        <v>1197</v>
      </c>
      <c r="E52" s="1277"/>
      <c r="F52" s="1277"/>
      <c r="I52" s="436" t="s">
        <v>2220</v>
      </c>
    </row>
    <row r="53" spans="1:9" ht="14.25">
      <c r="A53" s="519"/>
      <c r="B53" s="519"/>
      <c r="D53" s="1277"/>
      <c r="E53" s="1277"/>
      <c r="F53" s="1277"/>
    </row>
    <row r="54" spans="1:9" ht="14.25">
      <c r="A54" s="519"/>
      <c r="B54" s="519"/>
      <c r="D54" s="1277"/>
      <c r="E54" s="1277"/>
      <c r="F54" s="1277"/>
    </row>
    <row r="55" spans="1:9" ht="14.25">
      <c r="A55" s="519"/>
      <c r="B55" s="519"/>
    </row>
    <row r="56" spans="1:9" ht="14.25">
      <c r="A56" s="519"/>
      <c r="B56" s="520" t="s">
        <v>2779</v>
      </c>
      <c r="D56" s="1336" t="s">
        <v>1198</v>
      </c>
      <c r="E56" s="1336"/>
      <c r="F56" s="1336"/>
    </row>
    <row r="57" spans="1:9" ht="14.25">
      <c r="A57" s="519"/>
      <c r="B57" s="519"/>
      <c r="D57" s="1336"/>
      <c r="E57" s="1336"/>
      <c r="F57" s="1336"/>
    </row>
    <row r="58" spans="1:9" ht="14.25">
      <c r="A58" s="519"/>
      <c r="B58" s="519"/>
      <c r="D58" s="424" t="s">
        <v>2299</v>
      </c>
      <c r="E58" s="480"/>
      <c r="F58" s="480"/>
    </row>
    <row r="59" spans="1:9" ht="14.25">
      <c r="A59" s="519"/>
      <c r="B59" s="519"/>
      <c r="D59" s="480"/>
      <c r="E59" s="336" t="s">
        <v>2298</v>
      </c>
      <c r="F59" s="480"/>
    </row>
    <row r="60" spans="1:9">
      <c r="D60" s="482"/>
    </row>
    <row r="61" spans="1:9" ht="14.25">
      <c r="A61" s="519"/>
      <c r="B61" s="520" t="s">
        <v>2780</v>
      </c>
      <c r="D61" s="1277" t="s">
        <v>1199</v>
      </c>
      <c r="E61" s="1277"/>
      <c r="F61" s="1277"/>
      <c r="I61" s="436" t="s">
        <v>2151</v>
      </c>
    </row>
    <row r="62" spans="1:9">
      <c r="D62" s="1277"/>
      <c r="E62" s="1277"/>
      <c r="F62" s="1277"/>
    </row>
    <row r="63" spans="1:9">
      <c r="D63" s="1277"/>
      <c r="E63" s="1277"/>
      <c r="F63" s="1277"/>
    </row>
    <row r="64" spans="1:9"/>
    <row r="65" spans="1:9" ht="14.25">
      <c r="A65" s="519"/>
      <c r="B65" s="520" t="s">
        <v>2779</v>
      </c>
      <c r="D65" s="1277" t="s">
        <v>1200</v>
      </c>
      <c r="E65" s="1277"/>
      <c r="F65" s="1277"/>
      <c r="I65" s="436" t="s">
        <v>2152</v>
      </c>
    </row>
    <row r="66" spans="1:9">
      <c r="D66" s="1277"/>
      <c r="E66" s="1277"/>
      <c r="F66" s="1277"/>
    </row>
    <row r="67" spans="1:9"/>
    <row r="68" spans="1:9" ht="14.25">
      <c r="A68" s="519"/>
      <c r="B68" s="520" t="s">
        <v>2780</v>
      </c>
      <c r="D68" s="1277" t="s">
        <v>1201</v>
      </c>
      <c r="E68" s="1277"/>
      <c r="F68" s="1277"/>
    </row>
    <row r="69" spans="1:9">
      <c r="D69" s="1277"/>
      <c r="E69" s="1277"/>
      <c r="F69" s="1277"/>
      <c r="I69" s="436" t="s">
        <v>2153</v>
      </c>
    </row>
    <row r="70" spans="1:9">
      <c r="D70" s="1277"/>
      <c r="E70" s="1277"/>
      <c r="F70" s="1277"/>
    </row>
    <row r="71" spans="1:9"/>
    <row r="72" spans="1:9" ht="14.25">
      <c r="A72" s="519"/>
      <c r="B72" s="520" t="s">
        <v>2779</v>
      </c>
      <c r="D72" s="1277" t="s">
        <v>1202</v>
      </c>
      <c r="E72" s="1277"/>
      <c r="F72" s="1277"/>
      <c r="I72" s="436" t="s">
        <v>2153</v>
      </c>
    </row>
    <row r="73" spans="1:9">
      <c r="D73" s="1277"/>
      <c r="E73" s="1277"/>
      <c r="F73" s="1277"/>
    </row>
    <row r="74" spans="1:9" ht="14.25">
      <c r="A74" s="519"/>
      <c r="B74" s="519"/>
      <c r="D74" s="481"/>
    </row>
    <row r="75" spans="1:9">
      <c r="A75" s="1283" t="s">
        <v>1109</v>
      </c>
      <c r="B75" s="1283"/>
      <c r="C75" s="1283"/>
      <c r="D75" s="1283"/>
      <c r="E75" s="1283"/>
      <c r="F75" s="1283"/>
      <c r="G75" s="1283"/>
      <c r="H75" s="1068"/>
      <c r="I75" s="1069"/>
    </row>
    <row r="76" spans="1:9"/>
    <row r="77" spans="1:9">
      <c r="C77" s="521"/>
      <c r="D77" s="1305" t="s">
        <v>1207</v>
      </c>
      <c r="E77" s="1305"/>
      <c r="F77" s="1305"/>
    </row>
    <row r="78" spans="1:9">
      <c r="A78" s="481"/>
      <c r="B78" s="481"/>
      <c r="D78" s="1277" t="s">
        <v>1234</v>
      </c>
      <c r="E78" s="1277"/>
      <c r="F78" s="1277"/>
    </row>
    <row r="79" spans="1:9">
      <c r="A79" s="481"/>
      <c r="B79" s="481"/>
    </row>
    <row r="80" spans="1:9" ht="13.7" customHeight="1">
      <c r="A80" s="519"/>
      <c r="B80" s="520" t="s">
        <v>2779</v>
      </c>
      <c r="D80" s="1277" t="s">
        <v>1402</v>
      </c>
      <c r="E80" s="1277"/>
      <c r="F80" s="1277"/>
      <c r="I80" s="436" t="s">
        <v>2154</v>
      </c>
    </row>
    <row r="81" spans="1:9" ht="14.25">
      <c r="A81" s="519"/>
      <c r="B81" s="519"/>
      <c r="D81" s="1277"/>
      <c r="E81" s="1277"/>
      <c r="F81" s="1277"/>
    </row>
    <row r="82" spans="1:9" ht="14.25">
      <c r="A82" s="519"/>
      <c r="B82" s="519"/>
      <c r="D82" s="1277"/>
      <c r="E82" s="1277"/>
      <c r="F82" s="1277"/>
    </row>
    <row r="83" spans="1:9" ht="14.25">
      <c r="A83" s="519"/>
      <c r="B83" s="519"/>
      <c r="D83" s="1277"/>
      <c r="E83" s="1277"/>
      <c r="F83" s="1277"/>
    </row>
    <row r="84" spans="1:9" ht="14.25">
      <c r="A84" s="519"/>
      <c r="B84" s="519"/>
      <c r="D84" s="1277"/>
      <c r="E84" s="1277"/>
      <c r="F84" s="1277"/>
    </row>
    <row r="85" spans="1:9" ht="14.25">
      <c r="A85" s="519"/>
      <c r="B85" s="519"/>
      <c r="D85" s="1277"/>
      <c r="E85" s="1277"/>
      <c r="F85" s="1277"/>
    </row>
    <row r="86" spans="1:9" ht="14.25">
      <c r="A86" s="519"/>
      <c r="B86" s="519"/>
      <c r="D86" s="1277"/>
      <c r="E86" s="1277"/>
      <c r="F86" s="1277"/>
    </row>
    <row r="87" spans="1:9" ht="14.25">
      <c r="A87" s="519"/>
      <c r="B87" s="519"/>
      <c r="D87" s="1277"/>
      <c r="E87" s="1277"/>
      <c r="F87" s="1277"/>
    </row>
    <row r="88" spans="1:9" ht="14.25">
      <c r="A88" s="519"/>
      <c r="B88" s="519"/>
      <c r="D88" s="417"/>
      <c r="E88" s="417"/>
      <c r="F88" s="417"/>
    </row>
    <row r="89" spans="1:9" ht="15" customHeight="1">
      <c r="A89" s="519"/>
      <c r="B89" s="520" t="s">
        <v>2779</v>
      </c>
      <c r="D89" s="1277" t="s">
        <v>2005</v>
      </c>
      <c r="E89" s="1277"/>
      <c r="F89" s="1277"/>
      <c r="I89" s="436" t="s">
        <v>2155</v>
      </c>
    </row>
    <row r="90" spans="1:9" ht="14.25">
      <c r="A90" s="519"/>
      <c r="B90" s="519"/>
      <c r="D90" s="1277"/>
      <c r="E90" s="1277"/>
      <c r="F90" s="1277"/>
    </row>
    <row r="91" spans="1:9" ht="14.25">
      <c r="A91" s="519"/>
      <c r="B91" s="519"/>
      <c r="D91" s="480"/>
      <c r="E91" s="480"/>
      <c r="F91" s="480"/>
    </row>
    <row r="92" spans="1:9" ht="14.25">
      <c r="A92" s="519"/>
      <c r="B92" s="520" t="s">
        <v>2779</v>
      </c>
      <c r="D92" s="1277" t="s">
        <v>2008</v>
      </c>
      <c r="E92" s="1277"/>
      <c r="F92" s="1277"/>
      <c r="I92" s="436" t="s">
        <v>2156</v>
      </c>
    </row>
    <row r="93" spans="1:9" ht="14.25">
      <c r="A93" s="519"/>
      <c r="B93" s="519"/>
      <c r="D93" s="1277"/>
      <c r="E93" s="1277"/>
      <c r="F93" s="1277"/>
    </row>
    <row r="94" spans="1:9" ht="14.25">
      <c r="A94" s="519"/>
      <c r="B94" s="519"/>
      <c r="D94" s="1277"/>
      <c r="E94" s="1277"/>
      <c r="F94" s="1277"/>
    </row>
    <row r="95" spans="1:9" ht="14.25">
      <c r="A95" s="519"/>
      <c r="B95" s="519"/>
      <c r="D95" s="480"/>
      <c r="E95" s="480"/>
      <c r="F95" s="480"/>
    </row>
    <row r="96" spans="1:9" ht="14.25">
      <c r="A96" s="519"/>
      <c r="B96" s="520" t="s">
        <v>2779</v>
      </c>
      <c r="D96" s="1277" t="s">
        <v>2007</v>
      </c>
      <c r="E96" s="1277"/>
      <c r="F96" s="1277"/>
      <c r="I96" s="436" t="s">
        <v>2201</v>
      </c>
    </row>
    <row r="97" spans="1:9" s="1021" customFormat="1" ht="14.25">
      <c r="A97" s="1019"/>
      <c r="B97" s="1019"/>
      <c r="C97" s="1020"/>
      <c r="D97" s="1277"/>
      <c r="E97" s="1277"/>
      <c r="F97" s="1277"/>
      <c r="I97" s="1060"/>
    </row>
    <row r="98" spans="1:9" ht="14.25">
      <c r="A98" s="519"/>
      <c r="B98" s="519"/>
      <c r="D98" s="424"/>
      <c r="E98" s="336" t="s">
        <v>2302</v>
      </c>
      <c r="F98" s="480"/>
    </row>
    <row r="99" spans="1:9" ht="14.25">
      <c r="A99" s="519"/>
      <c r="B99" s="519"/>
      <c r="D99" s="417"/>
      <c r="E99" s="417"/>
      <c r="F99" s="417"/>
    </row>
    <row r="100" spans="1:9" ht="14.25">
      <c r="A100" s="519"/>
      <c r="B100" s="520" t="s">
        <v>2780</v>
      </c>
      <c r="D100" s="1277" t="s">
        <v>2006</v>
      </c>
      <c r="E100" s="1277"/>
      <c r="F100" s="1277"/>
      <c r="I100" s="436" t="s">
        <v>2157</v>
      </c>
    </row>
    <row r="101" spans="1:9" ht="14.25">
      <c r="A101" s="519"/>
      <c r="B101" s="519"/>
      <c r="D101" s="1277"/>
      <c r="E101" s="1277"/>
      <c r="F101" s="1277"/>
    </row>
    <row r="102" spans="1:9" ht="14.25">
      <c r="A102" s="519"/>
      <c r="B102" s="519"/>
      <c r="D102" s="480"/>
      <c r="E102" s="480"/>
      <c r="F102" s="480"/>
    </row>
    <row r="103" spans="1:9" ht="14.45" customHeight="1">
      <c r="A103" s="519"/>
      <c r="B103" s="520" t="s">
        <v>2780</v>
      </c>
      <c r="D103" s="1277" t="s">
        <v>1338</v>
      </c>
      <c r="E103" s="1277"/>
      <c r="F103" s="1277"/>
      <c r="I103" s="436" t="s">
        <v>2158</v>
      </c>
    </row>
    <row r="104" spans="1:9" ht="14.25">
      <c r="A104" s="519"/>
      <c r="B104" s="519"/>
      <c r="D104" s="1277"/>
      <c r="E104" s="1277"/>
      <c r="F104" s="1277"/>
    </row>
    <row r="105" spans="1:9" ht="14.25">
      <c r="A105" s="519"/>
      <c r="B105" s="519"/>
      <c r="D105" s="1277"/>
      <c r="E105" s="1277"/>
      <c r="F105" s="1277"/>
    </row>
    <row r="106" spans="1:9" ht="14.25">
      <c r="A106" s="519"/>
      <c r="B106" s="519"/>
      <c r="D106" s="1277"/>
      <c r="E106" s="1277"/>
      <c r="F106" s="1277"/>
    </row>
    <row r="107" spans="1:9" ht="14.25">
      <c r="A107" s="519"/>
      <c r="B107" s="519"/>
      <c r="D107" s="1277"/>
      <c r="E107" s="1277"/>
      <c r="F107" s="1277"/>
    </row>
    <row r="108" spans="1:9" ht="14.25">
      <c r="A108" s="519"/>
      <c r="B108" s="519"/>
      <c r="D108" s="1277"/>
      <c r="E108" s="1277"/>
      <c r="F108" s="1277"/>
    </row>
    <row r="109" spans="1:9" ht="14.25">
      <c r="A109" s="519"/>
      <c r="B109" s="519"/>
      <c r="D109" s="1277"/>
      <c r="E109" s="1277"/>
      <c r="F109" s="1277"/>
    </row>
    <row r="110" spans="1:9" ht="14.25">
      <c r="A110" s="519"/>
      <c r="B110" s="519"/>
      <c r="D110" s="1277"/>
      <c r="E110" s="1277"/>
      <c r="F110" s="1277"/>
    </row>
    <row r="111" spans="1:9" ht="14.25">
      <c r="A111" s="519"/>
      <c r="B111" s="519"/>
      <c r="D111" s="1277"/>
      <c r="E111" s="1277"/>
      <c r="F111" s="1277"/>
    </row>
    <row r="112" spans="1:9" ht="14.25">
      <c r="A112" s="519"/>
      <c r="B112" s="519"/>
      <c r="D112" s="1277"/>
      <c r="E112" s="1277"/>
      <c r="F112" s="1277"/>
    </row>
    <row r="113" spans="1:9" ht="14.25">
      <c r="A113" s="519"/>
      <c r="B113" s="519"/>
      <c r="D113" s="1277"/>
      <c r="E113" s="1277"/>
      <c r="F113" s="1277"/>
    </row>
    <row r="114" spans="1:9" ht="14.25">
      <c r="A114" s="519"/>
      <c r="B114" s="519"/>
      <c r="D114" s="1277"/>
      <c r="E114" s="1277"/>
      <c r="F114" s="1277"/>
    </row>
    <row r="115" spans="1:9" ht="14.25">
      <c r="A115" s="519"/>
      <c r="B115" s="519"/>
      <c r="D115" s="1277"/>
      <c r="E115" s="1277"/>
      <c r="F115" s="1277"/>
    </row>
    <row r="116" spans="1:9" ht="14.25">
      <c r="A116" s="519"/>
      <c r="B116" s="519"/>
      <c r="D116" s="1277"/>
      <c r="E116" s="1277"/>
      <c r="F116" s="1277"/>
    </row>
    <row r="117" spans="1:9" ht="14.25">
      <c r="A117" s="519"/>
      <c r="B117" s="519"/>
      <c r="D117" s="1277"/>
      <c r="E117" s="1277"/>
      <c r="F117" s="1277"/>
    </row>
    <row r="118" spans="1:9" ht="14.25">
      <c r="A118" s="519"/>
      <c r="B118" s="519"/>
      <c r="D118" s="559"/>
      <c r="E118" s="559"/>
      <c r="F118" s="559"/>
    </row>
    <row r="119" spans="1:9" ht="14.25" customHeight="1">
      <c r="A119" s="519"/>
      <c r="B119" s="520" t="s">
        <v>2780</v>
      </c>
      <c r="D119" s="1304" t="s">
        <v>1209</v>
      </c>
      <c r="E119" s="1304"/>
      <c r="F119" s="1304"/>
    </row>
    <row r="120" spans="1:9" ht="14.25">
      <c r="A120" s="519"/>
      <c r="B120" s="519"/>
      <c r="D120" s="1304"/>
      <c r="E120" s="1304"/>
      <c r="F120" s="1304"/>
    </row>
    <row r="121" spans="1:9" ht="14.25">
      <c r="A121" s="519"/>
      <c r="B121" s="519"/>
      <c r="D121" s="1304"/>
      <c r="E121" s="1304"/>
      <c r="F121" s="1304"/>
    </row>
    <row r="122" spans="1:9" ht="14.25">
      <c r="A122" s="519"/>
      <c r="B122" s="519"/>
      <c r="D122" s="1304"/>
      <c r="E122" s="1304"/>
      <c r="F122" s="1304"/>
    </row>
    <row r="123" spans="1:9" ht="14.25">
      <c r="A123" s="519"/>
      <c r="B123" s="519"/>
      <c r="D123" s="1304"/>
      <c r="E123" s="1304"/>
      <c r="F123" s="1304"/>
    </row>
    <row r="124" spans="1:9" ht="14.25">
      <c r="A124" s="519"/>
      <c r="B124" s="519"/>
      <c r="D124" s="1304"/>
      <c r="E124" s="1304"/>
      <c r="F124" s="1304"/>
    </row>
    <row r="125" spans="1:9" ht="14.25">
      <c r="A125" s="519"/>
      <c r="B125" s="519"/>
      <c r="D125" s="1304"/>
      <c r="E125" s="1304"/>
      <c r="F125" s="1304"/>
    </row>
    <row r="126" spans="1:9" ht="14.25">
      <c r="A126" s="519"/>
      <c r="B126" s="519"/>
      <c r="D126" s="1304"/>
      <c r="E126" s="1304"/>
      <c r="F126" s="1304"/>
    </row>
    <row r="127" spans="1:9">
      <c r="C127" s="434"/>
      <c r="D127" s="560"/>
      <c r="E127" s="560"/>
      <c r="F127" s="560"/>
    </row>
    <row r="128" spans="1:9" ht="14.25">
      <c r="A128" s="519"/>
      <c r="B128" s="520" t="s">
        <v>2779</v>
      </c>
      <c r="C128" s="434"/>
      <c r="D128" s="1304" t="s">
        <v>2444</v>
      </c>
      <c r="E128" s="1304"/>
      <c r="F128" s="1304"/>
      <c r="I128" s="436" t="s">
        <v>2159</v>
      </c>
    </row>
    <row r="129" spans="1:9" ht="14.25">
      <c r="A129" s="519"/>
      <c r="B129" s="519"/>
      <c r="C129" s="434"/>
      <c r="D129" s="1304"/>
      <c r="E129" s="1304"/>
      <c r="F129" s="1304"/>
    </row>
    <row r="130" spans="1:9"/>
    <row r="131" spans="1:9" ht="14.25">
      <c r="A131" s="519"/>
      <c r="B131" s="520" t="s">
        <v>2779</v>
      </c>
      <c r="D131" s="1277" t="s">
        <v>1212</v>
      </c>
      <c r="E131" s="1277"/>
      <c r="F131" s="1277"/>
      <c r="I131" s="436" t="s">
        <v>2159</v>
      </c>
    </row>
    <row r="132" spans="1:9">
      <c r="D132" s="1277"/>
      <c r="E132" s="1277"/>
      <c r="F132" s="1277"/>
    </row>
    <row r="133" spans="1:9">
      <c r="D133" s="1277"/>
      <c r="E133" s="1277"/>
      <c r="F133" s="1277"/>
    </row>
    <row r="134" spans="1:9">
      <c r="D134" s="1277"/>
      <c r="E134" s="1277"/>
      <c r="F134" s="1277"/>
    </row>
    <row r="135" spans="1:9">
      <c r="D135" s="1277"/>
      <c r="E135" s="1277"/>
      <c r="F135" s="1277"/>
    </row>
    <row r="136" spans="1:9"/>
    <row r="137" spans="1:9" ht="14.25">
      <c r="A137" s="519"/>
      <c r="B137" s="520" t="s">
        <v>2779</v>
      </c>
      <c r="D137" s="1277" t="s">
        <v>1213</v>
      </c>
      <c r="E137" s="1277"/>
      <c r="F137" s="1277"/>
      <c r="I137" s="436" t="s">
        <v>2160</v>
      </c>
    </row>
    <row r="138" spans="1:9" s="449" customFormat="1" ht="13.7" customHeight="1">
      <c r="A138" s="523"/>
      <c r="B138" s="523"/>
      <c r="C138" s="523"/>
      <c r="D138" s="1277"/>
      <c r="E138" s="1277"/>
      <c r="F138" s="1277"/>
      <c r="I138" s="1061"/>
    </row>
    <row r="139" spans="1:9" ht="13.7" customHeight="1">
      <c r="D139" s="1277"/>
      <c r="E139" s="1277"/>
      <c r="F139" s="1277"/>
    </row>
    <row r="140" spans="1:9" ht="13.7" customHeight="1">
      <c r="D140" s="1277"/>
      <c r="E140" s="1277"/>
      <c r="F140" s="1277"/>
    </row>
    <row r="141" spans="1:9" ht="13.7" customHeight="1">
      <c r="D141" s="1277"/>
      <c r="E141" s="1277"/>
      <c r="F141" s="1277"/>
    </row>
    <row r="142" spans="1:9" ht="13.7" customHeight="1">
      <c r="A142" s="524"/>
      <c r="B142" s="524"/>
      <c r="D142" s="1277"/>
      <c r="E142" s="1277"/>
      <c r="F142" s="1277"/>
    </row>
    <row r="143" spans="1:9" ht="13.7" customHeight="1">
      <c r="D143" s="1277"/>
      <c r="E143" s="1277"/>
      <c r="F143" s="1277"/>
    </row>
    <row r="144" spans="1:9" ht="13.7" customHeight="1">
      <c r="D144" s="1277"/>
      <c r="E144" s="1277"/>
      <c r="F144" s="1277"/>
    </row>
    <row r="145" spans="2:9" ht="13.7" customHeight="1">
      <c r="D145" s="1277"/>
      <c r="E145" s="1277"/>
      <c r="F145" s="1277"/>
    </row>
    <row r="146" spans="2:9" ht="13.7" customHeight="1">
      <c r="D146" s="1277"/>
      <c r="E146" s="1277"/>
      <c r="F146" s="1277"/>
    </row>
    <row r="147" spans="2:9" ht="13.7" customHeight="1">
      <c r="D147" s="1277"/>
      <c r="E147" s="1277"/>
      <c r="F147" s="1277"/>
    </row>
    <row r="148" spans="2:9" ht="13.7" customHeight="1">
      <c r="D148" s="1277"/>
      <c r="E148" s="1277"/>
      <c r="F148" s="1277"/>
    </row>
    <row r="149" spans="2:9" ht="13.7" customHeight="1">
      <c r="D149" s="1277"/>
      <c r="E149" s="1277"/>
      <c r="F149" s="1277"/>
    </row>
    <row r="150" spans="2:9" ht="13.7" customHeight="1">
      <c r="D150" s="511"/>
      <c r="E150" s="481"/>
      <c r="F150" s="481"/>
    </row>
    <row r="151" spans="2:9" ht="13.7" customHeight="1">
      <c r="B151" s="520" t="s">
        <v>2780</v>
      </c>
      <c r="D151" s="1277" t="s">
        <v>1321</v>
      </c>
      <c r="E151" s="1277"/>
      <c r="F151" s="1277"/>
      <c r="I151" s="436" t="s">
        <v>2161</v>
      </c>
    </row>
    <row r="152" spans="2:9" ht="13.7" customHeight="1">
      <c r="D152" s="1277"/>
      <c r="E152" s="1277"/>
      <c r="F152" s="1277"/>
    </row>
    <row r="153" spans="2:9" ht="13.7" customHeight="1">
      <c r="D153" s="1277"/>
      <c r="E153" s="1277"/>
      <c r="F153" s="1277"/>
    </row>
    <row r="154" spans="2:9" ht="13.7" customHeight="1">
      <c r="D154" s="1277"/>
      <c r="E154" s="1277"/>
      <c r="F154" s="1277"/>
    </row>
    <row r="155" spans="2:9" ht="13.7" customHeight="1">
      <c r="D155" s="1277"/>
      <c r="E155" s="1277"/>
      <c r="F155" s="1277"/>
    </row>
    <row r="156" spans="2:9" ht="13.7" customHeight="1">
      <c r="D156" s="1277"/>
      <c r="E156" s="1277"/>
      <c r="F156" s="1277"/>
    </row>
    <row r="157" spans="2:9" ht="13.7" customHeight="1">
      <c r="D157" s="1277"/>
      <c r="E157" s="1277"/>
      <c r="F157" s="1277"/>
    </row>
    <row r="158" spans="2:9" ht="13.7" customHeight="1">
      <c r="D158" s="1277"/>
      <c r="E158" s="1277"/>
      <c r="F158" s="1277"/>
    </row>
    <row r="159" spans="2:9" ht="13.7" customHeight="1">
      <c r="D159" s="1277"/>
      <c r="E159" s="1277"/>
      <c r="F159" s="1277"/>
    </row>
    <row r="160" spans="2:9" ht="13.7" customHeight="1">
      <c r="D160" s="1277"/>
      <c r="E160" s="1277"/>
      <c r="F160" s="1277"/>
    </row>
    <row r="161" spans="1:9" ht="13.7" customHeight="1">
      <c r="D161" s="1277"/>
      <c r="E161" s="1277"/>
      <c r="F161" s="1277"/>
    </row>
    <row r="162" spans="1:9" ht="13.7" customHeight="1">
      <c r="D162" s="1277"/>
      <c r="E162" s="1277"/>
      <c r="F162" s="1277"/>
    </row>
    <row r="163" spans="1:9" ht="13.7" customHeight="1">
      <c r="D163" s="1277"/>
      <c r="E163" s="1277"/>
      <c r="F163" s="1277"/>
    </row>
    <row r="164" spans="1:9" ht="13.7" customHeight="1">
      <c r="D164" s="1277"/>
      <c r="E164" s="1277"/>
      <c r="F164" s="1277"/>
    </row>
    <row r="165" spans="1:9" ht="13.7" customHeight="1">
      <c r="D165" s="1277"/>
      <c r="E165" s="1277"/>
      <c r="F165" s="1277"/>
    </row>
    <row r="166" spans="1:9" ht="13.7" customHeight="1">
      <c r="D166" s="1277"/>
      <c r="E166" s="1277"/>
      <c r="F166" s="1277"/>
    </row>
    <row r="167" spans="1:9" ht="13.7" customHeight="1">
      <c r="D167" s="1277"/>
      <c r="E167" s="1277"/>
      <c r="F167" s="1277"/>
    </row>
    <row r="168" spans="1:9" ht="13.7" customHeight="1">
      <c r="D168" s="1277"/>
      <c r="E168" s="1277"/>
      <c r="F168" s="1277"/>
    </row>
    <row r="169" spans="1:9" ht="13.7" customHeight="1">
      <c r="D169" s="1337" t="s">
        <v>2468</v>
      </c>
      <c r="E169" s="1337"/>
      <c r="F169" s="1337"/>
      <c r="G169" s="542"/>
    </row>
    <row r="170" spans="1:9" ht="13.7" customHeight="1">
      <c r="D170" s="1310"/>
      <c r="E170" s="1310"/>
      <c r="F170" s="1310"/>
      <c r="G170" s="1310"/>
    </row>
    <row r="171" spans="1:9" ht="14.45" customHeight="1">
      <c r="A171" s="524"/>
      <c r="B171" s="520" t="s">
        <v>2780</v>
      </c>
      <c r="C171" s="511"/>
      <c r="D171" s="1265" t="s">
        <v>1368</v>
      </c>
      <c r="E171" s="1265"/>
      <c r="F171" s="1265"/>
      <c r="G171" s="511"/>
      <c r="I171" s="436" t="s">
        <v>2156</v>
      </c>
    </row>
    <row r="172" spans="1:9" ht="14.45" customHeight="1">
      <c r="A172" s="524"/>
      <c r="B172" s="524"/>
      <c r="C172" s="511"/>
      <c r="D172" s="1265"/>
      <c r="E172" s="1265"/>
      <c r="F172" s="1265"/>
      <c r="G172" s="511"/>
    </row>
    <row r="173" spans="1:9" ht="13.7" customHeight="1">
      <c r="A173" s="524"/>
      <c r="B173" s="524"/>
      <c r="C173" s="511"/>
      <c r="D173" s="1265"/>
      <c r="E173" s="1265"/>
      <c r="F173" s="1265"/>
      <c r="G173" s="511"/>
    </row>
    <row r="174" spans="1:9" ht="13.7" customHeight="1">
      <c r="A174" s="524"/>
      <c r="B174" s="524"/>
      <c r="C174" s="511"/>
      <c r="D174" s="511"/>
      <c r="E174" s="511"/>
      <c r="F174" s="511"/>
      <c r="G174" s="511"/>
    </row>
    <row r="175" spans="1:9" ht="13.7" customHeight="1">
      <c r="A175" s="524"/>
      <c r="B175" s="520" t="s">
        <v>2780</v>
      </c>
      <c r="C175" s="511"/>
      <c r="D175" s="1265" t="s">
        <v>1215</v>
      </c>
      <c r="E175" s="1265"/>
      <c r="F175" s="1265"/>
      <c r="G175" s="511"/>
      <c r="I175" s="436" t="s">
        <v>2162</v>
      </c>
    </row>
    <row r="176" spans="1:9" ht="13.7" customHeight="1">
      <c r="A176" s="524"/>
      <c r="B176" s="524"/>
      <c r="C176" s="511"/>
      <c r="D176" s="1265"/>
      <c r="E176" s="1265"/>
      <c r="F176" s="1265"/>
      <c r="G176" s="511"/>
    </row>
    <row r="177" spans="1:9" ht="13.7" customHeight="1">
      <c r="A177" s="524"/>
      <c r="B177" s="524"/>
      <c r="C177" s="511"/>
      <c r="D177" s="1265"/>
      <c r="E177" s="1265"/>
      <c r="F177" s="1265"/>
      <c r="G177" s="511"/>
    </row>
    <row r="178" spans="1:9" ht="13.7" customHeight="1">
      <c r="A178" s="524"/>
      <c r="B178" s="524"/>
      <c r="C178" s="511"/>
      <c r="D178" s="1265"/>
      <c r="E178" s="1265"/>
      <c r="F178" s="1265"/>
      <c r="G178" s="511"/>
    </row>
    <row r="179" spans="1:9" ht="13.7" customHeight="1">
      <c r="D179" s="481"/>
      <c r="E179" s="481"/>
      <c r="F179" s="481"/>
    </row>
    <row r="180" spans="1:9" ht="13.7" customHeight="1">
      <c r="B180" s="520" t="s">
        <v>2780</v>
      </c>
      <c r="D180" s="1299" t="s">
        <v>2445</v>
      </c>
      <c r="E180" s="1299"/>
      <c r="F180" s="1299"/>
      <c r="I180" s="436" t="s">
        <v>2163</v>
      </c>
    </row>
    <row r="181" spans="1:9" ht="13.7" customHeight="1">
      <c r="D181" s="1299"/>
      <c r="E181" s="1299"/>
      <c r="F181" s="1299"/>
    </row>
    <row r="182" spans="1:9" ht="13.7" customHeight="1">
      <c r="D182" s="1299"/>
      <c r="E182" s="1299"/>
      <c r="F182" s="1299"/>
    </row>
    <row r="183" spans="1:9" ht="13.7" customHeight="1">
      <c r="A183" s="525"/>
      <c r="B183" s="525"/>
      <c r="E183" s="481"/>
      <c r="F183" s="481"/>
    </row>
    <row r="184" spans="1:9">
      <c r="A184" s="1283" t="s">
        <v>2446</v>
      </c>
      <c r="B184" s="1283"/>
      <c r="C184" s="1283"/>
      <c r="D184" s="1283"/>
      <c r="E184" s="1283"/>
      <c r="F184" s="1283"/>
      <c r="G184" s="1283"/>
      <c r="H184" s="1068"/>
      <c r="I184" s="1069"/>
    </row>
    <row r="185" spans="1:9" ht="12" customHeight="1">
      <c r="D185" s="481"/>
      <c r="E185" s="481"/>
      <c r="F185" s="481"/>
    </row>
    <row r="186" spans="1:9">
      <c r="B186" s="1292" t="s">
        <v>450</v>
      </c>
      <c r="C186" s="1292"/>
      <c r="D186" s="1292"/>
      <c r="E186" s="1292"/>
      <c r="F186" s="1292"/>
    </row>
    <row r="187" spans="1:9">
      <c r="B187" s="424" t="s">
        <v>2142</v>
      </c>
      <c r="C187" s="424"/>
      <c r="D187" s="424"/>
      <c r="E187" s="424"/>
      <c r="F187" s="424"/>
    </row>
    <row r="188" spans="1:9" ht="12" customHeight="1">
      <c r="A188" s="517"/>
      <c r="B188" s="517"/>
      <c r="C188" s="517"/>
    </row>
    <row r="189" spans="1:9">
      <c r="A189" s="1283" t="s">
        <v>1111</v>
      </c>
      <c r="B189" s="1283"/>
      <c r="C189" s="1283"/>
      <c r="D189" s="1283"/>
      <c r="E189" s="1283"/>
      <c r="F189" s="1283"/>
      <c r="G189" s="1283"/>
      <c r="H189" s="1068"/>
      <c r="I189" s="1069"/>
    </row>
    <row r="190" spans="1:9" ht="12" customHeight="1">
      <c r="A190" s="436"/>
      <c r="B190" s="436"/>
      <c r="E190" s="436"/>
    </row>
    <row r="191" spans="1:9" ht="13.7" customHeight="1">
      <c r="A191" s="436"/>
      <c r="B191" s="436"/>
      <c r="D191" s="1305" t="s">
        <v>2009</v>
      </c>
      <c r="E191" s="1305"/>
      <c r="F191" s="1305"/>
    </row>
    <row r="192" spans="1:9">
      <c r="A192" s="436"/>
      <c r="B192" s="436"/>
      <c r="D192" s="1305"/>
      <c r="E192" s="1305"/>
      <c r="F192" s="1305"/>
    </row>
    <row r="193" spans="1:9">
      <c r="A193" s="436"/>
      <c r="B193" s="436"/>
      <c r="D193" s="1292" t="s">
        <v>1339</v>
      </c>
      <c r="E193" s="1292"/>
      <c r="F193" s="1292"/>
    </row>
    <row r="194" spans="1:9">
      <c r="A194" s="436"/>
      <c r="B194" s="436"/>
      <c r="D194" s="424"/>
      <c r="E194" s="424"/>
      <c r="F194" s="424"/>
    </row>
    <row r="195" spans="1:9">
      <c r="A195" s="436"/>
      <c r="B195" s="520" t="s">
        <v>2780</v>
      </c>
      <c r="D195" s="1282" t="s">
        <v>2010</v>
      </c>
      <c r="E195" s="1282"/>
      <c r="F195" s="1282"/>
      <c r="I195" s="436" t="s">
        <v>2212</v>
      </c>
    </row>
    <row r="196" spans="1:9">
      <c r="A196" s="436"/>
      <c r="B196" s="436"/>
      <c r="D196" s="1286" t="s">
        <v>2280</v>
      </c>
      <c r="E196" s="1286"/>
      <c r="F196" s="1286"/>
    </row>
    <row r="197" spans="1:9">
      <c r="A197" s="436"/>
      <c r="B197" s="436"/>
      <c r="D197" s="96" t="s">
        <v>2011</v>
      </c>
      <c r="E197" s="1333" t="s">
        <v>2303</v>
      </c>
      <c r="F197" s="1333"/>
    </row>
    <row r="198" spans="1:9">
      <c r="A198" s="436"/>
      <c r="B198" s="436"/>
      <c r="D198" s="3"/>
      <c r="E198" s="3"/>
      <c r="F198" s="3"/>
    </row>
    <row r="199" spans="1:9">
      <c r="A199" s="436"/>
      <c r="B199" s="520" t="s">
        <v>2780</v>
      </c>
      <c r="D199" s="1286" t="s">
        <v>2012</v>
      </c>
      <c r="E199" s="1286"/>
      <c r="F199" s="1286"/>
      <c r="I199" s="436" t="s">
        <v>2213</v>
      </c>
    </row>
    <row r="200" spans="1:9">
      <c r="A200" s="436"/>
      <c r="B200" s="436"/>
      <c r="D200" s="1282" t="s">
        <v>2280</v>
      </c>
      <c r="E200" s="1282"/>
      <c r="F200" s="1282"/>
    </row>
    <row r="201" spans="1:9">
      <c r="A201" s="436"/>
      <c r="B201" s="436"/>
      <c r="D201" s="57" t="s">
        <v>2013</v>
      </c>
      <c r="E201" s="1333" t="s">
        <v>2304</v>
      </c>
      <c r="F201" s="1333"/>
    </row>
    <row r="202" spans="1:9">
      <c r="A202" s="436"/>
      <c r="B202" s="436"/>
      <c r="D202" s="3"/>
      <c r="E202" s="3"/>
      <c r="F202" s="3"/>
    </row>
    <row r="203" spans="1:9">
      <c r="A203" s="436"/>
      <c r="B203" s="520" t="s">
        <v>2780</v>
      </c>
      <c r="D203" s="1286" t="s">
        <v>2014</v>
      </c>
      <c r="E203" s="1286"/>
      <c r="F203" s="1286"/>
      <c r="I203" s="436" t="s">
        <v>2214</v>
      </c>
    </row>
    <row r="204" spans="1:9">
      <c r="A204" s="436"/>
      <c r="B204" s="436"/>
      <c r="D204" s="1282" t="s">
        <v>2280</v>
      </c>
      <c r="E204" s="1282"/>
      <c r="F204" s="1282"/>
    </row>
    <row r="205" spans="1:9">
      <c r="A205" s="436"/>
      <c r="B205" s="436"/>
      <c r="D205" s="57" t="s">
        <v>2011</v>
      </c>
      <c r="E205" s="1333" t="s">
        <v>2305</v>
      </c>
      <c r="F205" s="1333"/>
    </row>
    <row r="206" spans="1:9">
      <c r="A206" s="436"/>
      <c r="B206" s="436"/>
      <c r="D206" s="424"/>
      <c r="E206" s="424"/>
      <c r="F206" s="424"/>
    </row>
    <row r="207" spans="1:9" ht="14.25" customHeight="1">
      <c r="A207" s="519"/>
      <c r="B207" s="520" t="s">
        <v>2780</v>
      </c>
      <c r="D207" s="418" t="s">
        <v>2273</v>
      </c>
      <c r="E207" s="417"/>
      <c r="F207" s="417"/>
      <c r="I207" s="436" t="s">
        <v>2215</v>
      </c>
    </row>
    <row r="208" spans="1:9" ht="14.25">
      <c r="A208" s="519"/>
      <c r="B208" s="519"/>
      <c r="D208" s="1282" t="s">
        <v>2280</v>
      </c>
      <c r="E208" s="1282"/>
      <c r="F208" s="1282"/>
    </row>
    <row r="209" spans="1:9">
      <c r="D209" s="417"/>
      <c r="E209" s="1333" t="s">
        <v>2306</v>
      </c>
      <c r="F209" s="1333"/>
    </row>
    <row r="210" spans="1:9">
      <c r="D210" s="482"/>
    </row>
    <row r="211" spans="1:9">
      <c r="B211" s="520" t="s">
        <v>2780</v>
      </c>
      <c r="D211" s="1286" t="s">
        <v>2015</v>
      </c>
      <c r="E211" s="1286"/>
      <c r="F211" s="1286"/>
      <c r="I211" s="436" t="s">
        <v>2216</v>
      </c>
    </row>
    <row r="212" spans="1:9">
      <c r="D212" s="1282" t="s">
        <v>2280</v>
      </c>
      <c r="E212" s="1282"/>
      <c r="F212" s="1282"/>
    </row>
    <row r="213" spans="1:9">
      <c r="D213" s="57" t="s">
        <v>2011</v>
      </c>
      <c r="E213" s="1333" t="s">
        <v>2307</v>
      </c>
      <c r="F213" s="1333"/>
    </row>
    <row r="214" spans="1:9">
      <c r="D214" s="486"/>
      <c r="E214" s="486"/>
      <c r="F214" s="486"/>
    </row>
    <row r="215" spans="1:9" ht="14.25">
      <c r="A215" s="519"/>
      <c r="B215" s="520" t="s">
        <v>2780</v>
      </c>
      <c r="D215" s="1277" t="s">
        <v>1360</v>
      </c>
      <c r="E215" s="1277"/>
      <c r="F215" s="1277"/>
    </row>
    <row r="216" spans="1:9" ht="14.45" customHeight="1">
      <c r="A216" s="519"/>
      <c r="B216" s="434"/>
      <c r="D216" s="1277"/>
      <c r="E216" s="1277"/>
      <c r="F216" s="1277"/>
    </row>
    <row r="217" spans="1:9" ht="14.25">
      <c r="A217" s="519"/>
      <c r="D217" s="1277"/>
      <c r="E217" s="1277"/>
      <c r="F217" s="1277"/>
    </row>
    <row r="218" spans="1:9" ht="14.25">
      <c r="A218" s="519"/>
      <c r="D218" s="1277"/>
      <c r="E218" s="1277"/>
      <c r="F218" s="1277"/>
    </row>
    <row r="219" spans="1:9">
      <c r="D219" s="486"/>
      <c r="E219" s="486"/>
      <c r="F219" s="486"/>
    </row>
    <row r="220" spans="1:9">
      <c r="A220" s="1283" t="s">
        <v>1112</v>
      </c>
      <c r="B220" s="1283"/>
      <c r="C220" s="1283"/>
      <c r="D220" s="1283"/>
      <c r="E220" s="1283"/>
      <c r="F220" s="1283"/>
      <c r="G220" s="1283"/>
      <c r="H220" s="1068"/>
      <c r="I220" s="1069"/>
    </row>
    <row r="221" spans="1:9" ht="12" customHeight="1">
      <c r="D221" s="481"/>
      <c r="E221" s="481"/>
      <c r="F221" s="481"/>
    </row>
    <row r="222" spans="1:9">
      <c r="C222" s="521"/>
      <c r="D222" s="1275" t="s">
        <v>210</v>
      </c>
      <c r="E222" s="1275"/>
      <c r="F222" s="1275"/>
    </row>
    <row r="223" spans="1:9">
      <c r="A223" s="517"/>
      <c r="B223" s="517"/>
      <c r="C223" s="517"/>
      <c r="D223" s="1306" t="s">
        <v>1241</v>
      </c>
      <c r="E223" s="1306"/>
      <c r="F223" s="1306"/>
    </row>
    <row r="224" spans="1:9" ht="12" customHeight="1">
      <c r="A224" s="525"/>
      <c r="B224" s="525"/>
      <c r="C224" s="525"/>
    </row>
    <row r="225" spans="1:9" ht="13.7" customHeight="1">
      <c r="A225" s="525"/>
      <c r="C225" s="525"/>
      <c r="D225" s="1275" t="s">
        <v>556</v>
      </c>
      <c r="E225" s="1275"/>
      <c r="F225" s="1275"/>
      <c r="I225" s="436" t="s">
        <v>2164</v>
      </c>
    </row>
    <row r="226" spans="1:9" ht="14.25">
      <c r="A226" s="519"/>
      <c r="B226" s="520" t="s">
        <v>2779</v>
      </c>
      <c r="D226" s="1277" t="s">
        <v>2016</v>
      </c>
      <c r="E226" s="1277"/>
      <c r="F226" s="1277"/>
    </row>
    <row r="227" spans="1:9" ht="14.25" customHeight="1">
      <c r="A227" s="519"/>
      <c r="B227" s="519"/>
      <c r="D227" s="1277"/>
      <c r="E227" s="1277"/>
      <c r="F227" s="1277"/>
    </row>
    <row r="228" spans="1:9" ht="14.25" customHeight="1">
      <c r="A228" s="519"/>
      <c r="B228" s="519"/>
      <c r="D228" s="1277"/>
      <c r="E228" s="1277"/>
      <c r="F228" s="1277"/>
    </row>
    <row r="229" spans="1:9" ht="14.25">
      <c r="A229" s="519"/>
      <c r="B229" s="519"/>
      <c r="D229" s="1277"/>
      <c r="E229" s="1277"/>
      <c r="F229" s="1277"/>
    </row>
    <row r="230" spans="1:9" ht="14.25">
      <c r="A230" s="519"/>
      <c r="B230" s="519"/>
      <c r="D230" s="480"/>
      <c r="E230" s="480"/>
      <c r="F230" s="480"/>
    </row>
    <row r="231" spans="1:9" ht="14.25">
      <c r="A231" s="519"/>
      <c r="B231" s="520" t="s">
        <v>2779</v>
      </c>
      <c r="D231" s="1277" t="s">
        <v>2017</v>
      </c>
      <c r="E231" s="1277"/>
      <c r="F231" s="1277"/>
      <c r="I231" s="436" t="s">
        <v>2165</v>
      </c>
    </row>
    <row r="232" spans="1:9" ht="14.25">
      <c r="A232" s="519"/>
      <c r="B232" s="519"/>
      <c r="D232" s="1277"/>
      <c r="E232" s="1277"/>
      <c r="F232" s="1277"/>
    </row>
    <row r="233" spans="1:9" ht="14.25">
      <c r="A233" s="519"/>
      <c r="B233" s="519"/>
      <c r="D233" s="1277"/>
      <c r="E233" s="1277"/>
      <c r="F233" s="1277"/>
    </row>
    <row r="234" spans="1:9" ht="14.25">
      <c r="A234" s="519"/>
      <c r="B234" s="519"/>
      <c r="D234" s="1277"/>
      <c r="E234" s="1277"/>
      <c r="F234" s="1277"/>
    </row>
    <row r="235" spans="1:9" ht="14.25" customHeight="1">
      <c r="A235" s="519"/>
      <c r="B235" s="519"/>
      <c r="D235" s="1277"/>
      <c r="E235" s="1277"/>
      <c r="F235" s="1277"/>
    </row>
    <row r="236" spans="1:9" ht="14.25" customHeight="1">
      <c r="A236" s="519"/>
      <c r="B236" s="519"/>
      <c r="D236" s="480"/>
      <c r="E236" s="480"/>
      <c r="F236" s="480"/>
    </row>
    <row r="237" spans="1:9" ht="14.25">
      <c r="A237" s="519"/>
      <c r="B237" s="519"/>
      <c r="D237" s="1277" t="s">
        <v>1237</v>
      </c>
      <c r="E237" s="1277"/>
      <c r="F237" s="1277"/>
      <c r="I237" s="436" t="s">
        <v>2164</v>
      </c>
    </row>
    <row r="238" spans="1:9" ht="14.25">
      <c r="A238" s="519"/>
      <c r="B238" s="519"/>
      <c r="D238" s="1277"/>
      <c r="E238" s="1277"/>
      <c r="F238" s="1277"/>
    </row>
    <row r="239" spans="1:9" ht="14.25">
      <c r="A239" s="519"/>
      <c r="B239" s="519"/>
      <c r="D239" s="1277"/>
      <c r="E239" s="1277"/>
      <c r="F239" s="1277"/>
    </row>
    <row r="240" spans="1:9" ht="14.25">
      <c r="A240" s="519"/>
      <c r="B240" s="519"/>
      <c r="D240" s="1277"/>
      <c r="E240" s="1277"/>
      <c r="F240" s="1277"/>
    </row>
    <row r="241" spans="1:9" ht="14.25">
      <c r="A241" s="519"/>
      <c r="B241" s="519"/>
      <c r="D241" s="1277"/>
      <c r="E241" s="1277"/>
      <c r="F241" s="1277"/>
    </row>
    <row r="242" spans="1:9" ht="14.25">
      <c r="A242" s="519"/>
      <c r="B242" s="519"/>
      <c r="D242" s="481"/>
      <c r="E242" s="481"/>
      <c r="F242" s="481"/>
    </row>
    <row r="243" spans="1:9" ht="14.25">
      <c r="A243" s="519"/>
      <c r="B243" s="520" t="s">
        <v>2779</v>
      </c>
      <c r="D243" s="1277" t="s">
        <v>2447</v>
      </c>
      <c r="E243" s="1277"/>
      <c r="F243" s="1277"/>
      <c r="I243" s="436" t="s">
        <v>2203</v>
      </c>
    </row>
    <row r="244" spans="1:9" ht="14.25">
      <c r="A244" s="519"/>
      <c r="B244" s="519"/>
      <c r="D244" s="1277"/>
      <c r="E244" s="1277"/>
      <c r="F244" s="1277"/>
    </row>
    <row r="245" spans="1:9" ht="14.25">
      <c r="A245" s="519"/>
      <c r="B245" s="519"/>
      <c r="D245" s="1277"/>
      <c r="E245" s="1277"/>
      <c r="F245" s="1277"/>
    </row>
    <row r="246" spans="1:9" ht="14.25">
      <c r="A246" s="519"/>
      <c r="B246" s="519"/>
      <c r="E246" s="1077" t="s">
        <v>2274</v>
      </c>
    </row>
    <row r="247" spans="1:9" ht="14.25">
      <c r="A247" s="519"/>
      <c r="B247" s="519"/>
      <c r="D247" s="481"/>
      <c r="E247" s="481"/>
      <c r="F247" s="481"/>
    </row>
    <row r="248" spans="1:9" ht="14.45" customHeight="1">
      <c r="A248" s="519"/>
      <c r="B248" s="520" t="s">
        <v>2780</v>
      </c>
      <c r="D248" s="1277" t="s">
        <v>2448</v>
      </c>
      <c r="E248" s="1277"/>
      <c r="F248" s="1277"/>
      <c r="I248" s="436" t="s">
        <v>2221</v>
      </c>
    </row>
    <row r="249" spans="1:9" ht="14.25">
      <c r="A249" s="519"/>
      <c r="B249" s="519"/>
      <c r="D249" s="1277"/>
      <c r="E249" s="1277"/>
      <c r="F249" s="1277"/>
    </row>
    <row r="250" spans="1:9" ht="14.25">
      <c r="A250" s="519"/>
      <c r="B250" s="519"/>
      <c r="D250" s="1277"/>
      <c r="E250" s="1277"/>
      <c r="F250" s="1277"/>
    </row>
    <row r="251" spans="1:9" ht="14.25">
      <c r="A251" s="519"/>
      <c r="B251" s="519"/>
      <c r="D251" s="1277"/>
      <c r="E251" s="1277"/>
      <c r="F251" s="1277"/>
    </row>
    <row r="252" spans="1:9" ht="14.25">
      <c r="A252" s="519"/>
      <c r="B252" s="519"/>
      <c r="D252" s="1277"/>
      <c r="E252" s="1277"/>
      <c r="F252" s="1277"/>
    </row>
    <row r="253" spans="1:9" ht="14.25">
      <c r="A253" s="519"/>
      <c r="B253" s="519"/>
      <c r="D253" s="480"/>
      <c r="E253" s="480"/>
      <c r="F253" s="480"/>
    </row>
    <row r="254" spans="1:9" ht="14.25">
      <c r="A254" s="519"/>
      <c r="B254" s="520" t="s">
        <v>2779</v>
      </c>
      <c r="D254" s="424" t="s">
        <v>2449</v>
      </c>
      <c r="E254" s="480"/>
      <c r="F254" s="480"/>
      <c r="I254" s="436" t="s">
        <v>2202</v>
      </c>
    </row>
    <row r="255" spans="1:9" ht="14.25">
      <c r="A255" s="519"/>
      <c r="B255" s="519"/>
      <c r="E255" s="1077" t="s">
        <v>2275</v>
      </c>
    </row>
    <row r="256" spans="1:9">
      <c r="D256" s="481"/>
      <c r="E256" s="481"/>
      <c r="F256" s="481"/>
    </row>
    <row r="257" spans="1:9" ht="14.25">
      <c r="A257" s="519"/>
      <c r="B257" s="520" t="s">
        <v>2779</v>
      </c>
      <c r="D257" s="1277" t="s">
        <v>1239</v>
      </c>
      <c r="E257" s="1277"/>
      <c r="F257" s="1277"/>
    </row>
    <row r="258" spans="1:9" ht="14.25">
      <c r="A258" s="519"/>
      <c r="B258" s="519"/>
      <c r="D258" s="1277"/>
      <c r="E258" s="1277"/>
      <c r="F258" s="1277"/>
    </row>
    <row r="259" spans="1:9">
      <c r="D259" s="526"/>
    </row>
    <row r="260" spans="1:9">
      <c r="A260" s="1283" t="s">
        <v>1113</v>
      </c>
      <c r="B260" s="1283"/>
      <c r="C260" s="1283"/>
      <c r="D260" s="1283"/>
      <c r="E260" s="1283"/>
      <c r="F260" s="1283"/>
      <c r="G260" s="1283"/>
      <c r="H260" s="1068"/>
      <c r="I260" s="1069"/>
    </row>
    <row r="261" spans="1:9">
      <c r="D261" s="526"/>
    </row>
    <row r="262" spans="1:9">
      <c r="C262" s="521"/>
      <c r="D262" s="1275" t="s">
        <v>1242</v>
      </c>
      <c r="E262" s="1275"/>
      <c r="F262" s="1275"/>
    </row>
    <row r="263" spans="1:9">
      <c r="A263" s="517"/>
      <c r="B263" s="517"/>
      <c r="C263" s="517"/>
      <c r="D263" s="481"/>
      <c r="E263" s="481"/>
      <c r="F263" s="481"/>
    </row>
    <row r="264" spans="1:9">
      <c r="A264" s="518"/>
      <c r="B264" s="518"/>
      <c r="C264" s="518"/>
      <c r="D264" s="1275" t="s">
        <v>271</v>
      </c>
      <c r="E264" s="1275"/>
      <c r="F264" s="1275"/>
      <c r="I264" s="436" t="s">
        <v>2204</v>
      </c>
    </row>
    <row r="265" spans="1:9" ht="14.45" customHeight="1">
      <c r="A265" s="519"/>
      <c r="B265" s="520" t="s">
        <v>2779</v>
      </c>
      <c r="D265" s="1277" t="s">
        <v>1340</v>
      </c>
      <c r="E265" s="1277"/>
      <c r="F265" s="1277"/>
    </row>
    <row r="266" spans="1:9">
      <c r="D266" s="1277"/>
      <c r="E266" s="1277"/>
      <c r="F266" s="1277"/>
    </row>
    <row r="267" spans="1:9">
      <c r="E267" s="1077" t="s">
        <v>2276</v>
      </c>
    </row>
    <row r="268" spans="1:9">
      <c r="D268" s="481"/>
      <c r="E268" s="481"/>
      <c r="F268" s="481"/>
    </row>
    <row r="269" spans="1:9" ht="14.45" customHeight="1">
      <c r="A269" s="519"/>
      <c r="B269" s="520" t="s">
        <v>2780</v>
      </c>
      <c r="D269" s="1277" t="s">
        <v>2450</v>
      </c>
      <c r="E269" s="1277"/>
      <c r="F269" s="1277"/>
      <c r="I269" s="436" t="s">
        <v>2222</v>
      </c>
    </row>
    <row r="270" spans="1:9">
      <c r="D270" s="1277"/>
      <c r="E270" s="1277"/>
      <c r="F270" s="1277"/>
    </row>
    <row r="271" spans="1:9">
      <c r="D271" s="1277"/>
      <c r="E271" s="1277"/>
      <c r="F271" s="1277"/>
    </row>
    <row r="272" spans="1:9">
      <c r="D272" s="1277"/>
      <c r="E272" s="1277"/>
      <c r="F272" s="1277"/>
    </row>
    <row r="273" spans="1:9">
      <c r="D273" s="1277"/>
      <c r="E273" s="1277"/>
      <c r="F273" s="1277"/>
    </row>
    <row r="274" spans="1:9">
      <c r="D274" s="1277"/>
      <c r="E274" s="1277"/>
      <c r="F274" s="1277"/>
    </row>
    <row r="275" spans="1:9">
      <c r="D275" s="481"/>
      <c r="E275" s="481"/>
      <c r="F275" s="481"/>
    </row>
    <row r="276" spans="1:9" ht="14.25">
      <c r="A276" s="519"/>
      <c r="B276" s="520" t="s">
        <v>2780</v>
      </c>
      <c r="D276" s="1277" t="s">
        <v>1245</v>
      </c>
      <c r="E276" s="1277"/>
      <c r="F276" s="1277"/>
    </row>
    <row r="277" spans="1:9">
      <c r="D277" s="1277"/>
      <c r="E277" s="1277"/>
      <c r="F277" s="1277"/>
    </row>
    <row r="278" spans="1:9">
      <c r="D278" s="1277"/>
      <c r="E278" s="1277"/>
      <c r="F278" s="1277"/>
    </row>
    <row r="279" spans="1:9">
      <c r="D279" s="527"/>
      <c r="E279" s="481"/>
      <c r="F279" s="481"/>
    </row>
    <row r="280" spans="1:9">
      <c r="A280" s="1283" t="s">
        <v>1114</v>
      </c>
      <c r="B280" s="1283"/>
      <c r="C280" s="1283"/>
      <c r="D280" s="1283"/>
      <c r="E280" s="1283"/>
      <c r="F280" s="1283"/>
      <c r="G280" s="1283"/>
      <c r="H280" s="1068"/>
      <c r="I280" s="1069"/>
    </row>
    <row r="281" spans="1:9">
      <c r="D281" s="527"/>
      <c r="E281" s="481"/>
      <c r="F281" s="481"/>
    </row>
    <row r="282" spans="1:9">
      <c r="C282" s="517"/>
      <c r="D282" s="1305" t="s">
        <v>1247</v>
      </c>
      <c r="E282" s="1305"/>
      <c r="F282" s="1305"/>
    </row>
    <row r="283" spans="1:9">
      <c r="C283" s="517"/>
      <c r="D283" s="1305"/>
      <c r="E283" s="1305"/>
      <c r="F283" s="1305"/>
    </row>
    <row r="284" spans="1:9">
      <c r="A284" s="518"/>
      <c r="B284" s="518"/>
      <c r="C284" s="518"/>
      <c r="D284" s="436"/>
    </row>
    <row r="285" spans="1:9">
      <c r="C285" s="518"/>
      <c r="D285" s="1275" t="s">
        <v>211</v>
      </c>
      <c r="E285" s="1275"/>
      <c r="F285" s="1275"/>
    </row>
    <row r="286" spans="1:9" ht="15.75" customHeight="1">
      <c r="A286" s="519"/>
      <c r="B286" s="519"/>
      <c r="D286" s="1330" t="s">
        <v>1248</v>
      </c>
      <c r="E286" s="1330"/>
      <c r="F286" s="1330"/>
    </row>
    <row r="287" spans="1:9">
      <c r="E287" s="481"/>
      <c r="F287" s="481"/>
    </row>
    <row r="288" spans="1:9" ht="14.25">
      <c r="A288" s="519"/>
      <c r="B288" s="520" t="s">
        <v>2780</v>
      </c>
      <c r="D288" s="1277" t="s">
        <v>1249</v>
      </c>
      <c r="E288" s="1277"/>
      <c r="F288" s="1277"/>
      <c r="I288" s="436" t="s">
        <v>2166</v>
      </c>
    </row>
    <row r="289" spans="1:9" ht="14.25">
      <c r="A289" s="519"/>
      <c r="B289" s="519"/>
      <c r="D289" s="1277"/>
      <c r="E289" s="1277"/>
      <c r="F289" s="1277"/>
    </row>
    <row r="290" spans="1:9">
      <c r="D290" s="481"/>
      <c r="E290" s="481"/>
      <c r="F290" s="481"/>
    </row>
    <row r="291" spans="1:9" ht="14.25">
      <c r="A291" s="519"/>
      <c r="B291" s="520" t="s">
        <v>2780</v>
      </c>
      <c r="D291" s="1277" t="s">
        <v>1250</v>
      </c>
      <c r="E291" s="1277"/>
      <c r="F291" s="1277"/>
      <c r="I291" s="436" t="s">
        <v>2166</v>
      </c>
    </row>
    <row r="292" spans="1:9" ht="14.25">
      <c r="A292" s="519"/>
      <c r="B292" s="519"/>
      <c r="D292" s="1277"/>
      <c r="E292" s="1277"/>
      <c r="F292" s="1277"/>
    </row>
    <row r="293" spans="1:9" ht="14.25">
      <c r="A293" s="519"/>
      <c r="B293" s="519"/>
      <c r="D293" s="1277"/>
      <c r="E293" s="1277"/>
      <c r="F293" s="1277"/>
    </row>
    <row r="294" spans="1:9">
      <c r="D294" s="481"/>
      <c r="E294" s="481"/>
      <c r="F294" s="481"/>
    </row>
    <row r="295" spans="1:9" ht="14.25">
      <c r="A295" s="519"/>
      <c r="B295" s="520" t="s">
        <v>2780</v>
      </c>
      <c r="D295" s="1277" t="s">
        <v>1251</v>
      </c>
      <c r="E295" s="1277"/>
      <c r="F295" s="1277"/>
      <c r="I295" s="436" t="s">
        <v>2166</v>
      </c>
    </row>
    <row r="296" spans="1:9" ht="14.25">
      <c r="A296" s="519"/>
      <c r="B296" s="519"/>
      <c r="D296" s="1277"/>
      <c r="E296" s="1277"/>
      <c r="F296" s="1277"/>
    </row>
    <row r="297" spans="1:9">
      <c r="A297" s="525"/>
      <c r="B297" s="525"/>
      <c r="E297" s="481"/>
      <c r="F297" s="481"/>
    </row>
    <row r="298" spans="1:9">
      <c r="A298" s="1283" t="s">
        <v>1115</v>
      </c>
      <c r="B298" s="1283"/>
      <c r="C298" s="1283"/>
      <c r="D298" s="1283"/>
      <c r="E298" s="1283"/>
      <c r="F298" s="1283"/>
      <c r="G298" s="1283"/>
      <c r="H298" s="1068"/>
      <c r="I298" s="1069"/>
    </row>
    <row r="299" spans="1:9">
      <c r="A299" s="525"/>
      <c r="B299" s="525"/>
      <c r="D299" s="481"/>
      <c r="E299" s="481"/>
      <c r="F299" s="481"/>
    </row>
    <row r="300" spans="1:9">
      <c r="C300" s="525"/>
      <c r="D300" s="1275" t="s">
        <v>692</v>
      </c>
      <c r="E300" s="1275"/>
      <c r="F300" s="1275"/>
    </row>
    <row r="301" spans="1:9">
      <c r="C301" s="525"/>
      <c r="D301" s="1306" t="s">
        <v>1252</v>
      </c>
      <c r="E301" s="1306"/>
      <c r="F301" s="1306"/>
    </row>
    <row r="302" spans="1:9">
      <c r="C302" s="525"/>
      <c r="D302" s="528"/>
    </row>
    <row r="303" spans="1:9">
      <c r="B303" s="520" t="s">
        <v>2780</v>
      </c>
      <c r="D303" s="1306" t="s">
        <v>1253</v>
      </c>
      <c r="E303" s="1306"/>
      <c r="F303" s="1306"/>
      <c r="I303" s="436" t="s">
        <v>2167</v>
      </c>
    </row>
    <row r="304" spans="1:9" ht="14.25">
      <c r="A304" s="519"/>
      <c r="B304" s="519"/>
      <c r="D304" s="529"/>
      <c r="E304" s="530"/>
      <c r="F304" s="530"/>
    </row>
    <row r="305" spans="1:9" ht="13.7" customHeight="1">
      <c r="B305" s="520" t="s">
        <v>2780</v>
      </c>
      <c r="D305" s="1327" t="s">
        <v>1364</v>
      </c>
      <c r="E305" s="1327"/>
      <c r="F305" s="1327"/>
      <c r="I305" s="436" t="s">
        <v>2167</v>
      </c>
    </row>
    <row r="306" spans="1:9" ht="14.25">
      <c r="A306" s="519"/>
      <c r="B306" s="519"/>
      <c r="D306" s="1327"/>
      <c r="E306" s="1327"/>
      <c r="F306" s="1327"/>
    </row>
    <row r="307" spans="1:9" ht="14.25">
      <c r="A307" s="519"/>
      <c r="B307" s="519"/>
      <c r="D307" s="1327"/>
      <c r="E307" s="1327"/>
      <c r="F307" s="1327"/>
    </row>
    <row r="308" spans="1:9" ht="14.25">
      <c r="A308" s="519"/>
      <c r="B308" s="519"/>
      <c r="D308" s="1327"/>
      <c r="E308" s="1327"/>
      <c r="F308" s="1327"/>
    </row>
    <row r="309" spans="1:9" ht="14.25">
      <c r="A309" s="519"/>
      <c r="B309" s="519"/>
      <c r="D309" s="1327"/>
      <c r="E309" s="1327"/>
      <c r="F309" s="1327"/>
    </row>
    <row r="310" spans="1:9" ht="14.25">
      <c r="A310" s="519"/>
      <c r="B310" s="519"/>
      <c r="D310" s="529"/>
      <c r="E310" s="530"/>
      <c r="F310" s="530"/>
    </row>
    <row r="311" spans="1:9" ht="13.7" customHeight="1">
      <c r="B311" s="520" t="s">
        <v>2780</v>
      </c>
      <c r="D311" s="1327" t="s">
        <v>1255</v>
      </c>
      <c r="E311" s="1327"/>
      <c r="F311" s="1327"/>
      <c r="I311" s="436" t="s">
        <v>2167</v>
      </c>
    </row>
    <row r="312" spans="1:9">
      <c r="D312" s="1327"/>
      <c r="E312" s="1327"/>
      <c r="F312" s="1327"/>
    </row>
    <row r="313" spans="1:9" ht="14.25">
      <c r="A313" s="519"/>
      <c r="B313" s="519"/>
      <c r="D313" s="529"/>
      <c r="E313" s="530"/>
      <c r="F313" s="530"/>
    </row>
    <row r="314" spans="1:9">
      <c r="B314" s="520" t="s">
        <v>2780</v>
      </c>
      <c r="D314" s="1306" t="s">
        <v>1256</v>
      </c>
      <c r="E314" s="1306"/>
      <c r="F314" s="1306"/>
      <c r="I314" s="436" t="s">
        <v>2153</v>
      </c>
    </row>
    <row r="315" spans="1:9">
      <c r="E315" s="481"/>
      <c r="F315" s="481"/>
    </row>
    <row r="316" spans="1:9" ht="14.25">
      <c r="A316" s="519"/>
      <c r="B316" s="520" t="s">
        <v>2780</v>
      </c>
      <c r="D316" s="1277" t="s">
        <v>2469</v>
      </c>
      <c r="E316" s="1277"/>
      <c r="F316" s="1277"/>
      <c r="I316" s="436" t="s">
        <v>2168</v>
      </c>
    </row>
    <row r="317" spans="1:9" ht="14.25">
      <c r="A317" s="519"/>
      <c r="B317" s="519"/>
      <c r="D317" s="1277"/>
      <c r="E317" s="1277"/>
      <c r="F317" s="1277"/>
    </row>
    <row r="318" spans="1:9" ht="14.25">
      <c r="A318" s="519"/>
      <c r="B318" s="519"/>
      <c r="D318" s="1277"/>
      <c r="E318" s="1277"/>
      <c r="F318" s="1277"/>
    </row>
    <row r="319" spans="1:9" ht="14.25">
      <c r="A319" s="519"/>
      <c r="B319" s="519"/>
      <c r="D319" s="1277"/>
      <c r="E319" s="1277"/>
      <c r="F319" s="1277"/>
    </row>
    <row r="320" spans="1:9" ht="14.25">
      <c r="A320" s="519"/>
      <c r="B320" s="519"/>
      <c r="D320" s="1277"/>
      <c r="E320" s="1277"/>
      <c r="F320" s="1277"/>
    </row>
    <row r="321" spans="1:9" ht="14.25">
      <c r="A321" s="519"/>
      <c r="B321" s="519"/>
      <c r="D321" s="1277"/>
      <c r="E321" s="1277"/>
      <c r="F321" s="1277"/>
    </row>
    <row r="322" spans="1:9" ht="14.25">
      <c r="A322" s="519"/>
      <c r="B322" s="519"/>
      <c r="D322" s="1277"/>
      <c r="E322" s="1277"/>
      <c r="F322" s="1277"/>
    </row>
    <row r="323" spans="1:9" ht="14.25">
      <c r="A323" s="519"/>
      <c r="B323" s="519"/>
      <c r="D323" s="1277"/>
      <c r="E323" s="1277"/>
      <c r="F323" s="1277"/>
    </row>
    <row r="324" spans="1:9" ht="14.25">
      <c r="A324" s="519"/>
      <c r="B324" s="519"/>
      <c r="D324" s="1277"/>
      <c r="E324" s="1277"/>
      <c r="F324" s="1277"/>
    </row>
    <row r="325" spans="1:9" ht="14.25">
      <c r="A325" s="519"/>
      <c r="B325" s="519"/>
      <c r="D325" s="1277"/>
      <c r="E325" s="1277"/>
      <c r="F325" s="1277"/>
    </row>
    <row r="326" spans="1:9" ht="14.25">
      <c r="A326" s="519"/>
      <c r="B326" s="519"/>
      <c r="D326" s="1277"/>
      <c r="E326" s="1277"/>
      <c r="F326" s="1277"/>
    </row>
    <row r="327" spans="1:9" ht="14.25">
      <c r="A327" s="519"/>
      <c r="B327" s="519"/>
      <c r="D327" s="1277"/>
      <c r="E327" s="1277"/>
      <c r="F327" s="1277"/>
    </row>
    <row r="328" spans="1:9" ht="14.25">
      <c r="A328" s="519"/>
      <c r="B328" s="519"/>
      <c r="D328" s="1277"/>
      <c r="E328" s="1277"/>
      <c r="F328" s="1277"/>
    </row>
    <row r="329" spans="1:9" ht="14.25">
      <c r="A329" s="519"/>
      <c r="B329" s="519"/>
      <c r="D329" s="1277"/>
      <c r="E329" s="1277"/>
      <c r="F329" s="1277"/>
    </row>
    <row r="330" spans="1:9" ht="14.25">
      <c r="A330" s="519"/>
      <c r="B330" s="519"/>
      <c r="D330" s="1277"/>
      <c r="E330" s="1277"/>
      <c r="F330" s="1277"/>
    </row>
    <row r="331" spans="1:9">
      <c r="D331" s="481"/>
      <c r="E331" s="481"/>
      <c r="F331" s="481"/>
    </row>
    <row r="332" spans="1:9" ht="14.25">
      <c r="A332" s="519"/>
      <c r="B332" s="520" t="s">
        <v>2780</v>
      </c>
      <c r="D332" s="1277" t="s">
        <v>1258</v>
      </c>
      <c r="E332" s="1277"/>
      <c r="F332" s="1277"/>
      <c r="I332" s="436" t="s">
        <v>2168</v>
      </c>
    </row>
    <row r="333" spans="1:9">
      <c r="D333" s="1277"/>
      <c r="E333" s="1277"/>
      <c r="F333" s="1277"/>
    </row>
    <row r="334" spans="1:9">
      <c r="D334" s="1277"/>
      <c r="E334" s="1277"/>
      <c r="F334" s="1277"/>
    </row>
    <row r="335" spans="1:9">
      <c r="D335" s="1277"/>
      <c r="E335" s="1277"/>
      <c r="F335" s="1277"/>
    </row>
    <row r="336" spans="1:9">
      <c r="D336" s="1277"/>
      <c r="E336" s="1277"/>
      <c r="F336" s="1277"/>
    </row>
    <row r="337" spans="1:9">
      <c r="D337" s="1277"/>
      <c r="E337" s="1277"/>
      <c r="F337" s="1277"/>
    </row>
    <row r="338" spans="1:9">
      <c r="D338" s="1277"/>
      <c r="E338" s="1277"/>
      <c r="F338" s="1277"/>
    </row>
    <row r="339" spans="1:9">
      <c r="D339" s="1277"/>
      <c r="E339" s="1277"/>
      <c r="F339" s="1277"/>
    </row>
    <row r="340" spans="1:9">
      <c r="D340" s="1277"/>
      <c r="E340" s="1277"/>
      <c r="F340" s="1277"/>
    </row>
    <row r="341" spans="1:9">
      <c r="D341" s="481"/>
      <c r="E341" s="481"/>
      <c r="F341" s="481"/>
    </row>
    <row r="342" spans="1:9" ht="14.25" customHeight="1">
      <c r="A342" s="519"/>
      <c r="B342" s="520" t="s">
        <v>2780</v>
      </c>
      <c r="D342" s="1277" t="s">
        <v>2281</v>
      </c>
      <c r="E342" s="1277"/>
      <c r="F342" s="1277"/>
      <c r="I342" s="436" t="s">
        <v>2205</v>
      </c>
    </row>
    <row r="343" spans="1:9">
      <c r="D343" s="1277"/>
      <c r="E343" s="1277"/>
      <c r="F343" s="1277"/>
    </row>
    <row r="344" spans="1:9">
      <c r="D344" s="1277"/>
      <c r="E344" s="1277"/>
      <c r="F344" s="1277"/>
    </row>
    <row r="345" spans="1:9">
      <c r="D345" s="1277"/>
      <c r="E345" s="1277"/>
      <c r="F345" s="1277"/>
    </row>
    <row r="346" spans="1:9">
      <c r="D346" s="418" t="s">
        <v>2280</v>
      </c>
      <c r="E346" s="417"/>
      <c r="F346" s="417"/>
    </row>
    <row r="347" spans="1:9">
      <c r="D347" s="417"/>
      <c r="E347" s="96" t="s">
        <v>2277</v>
      </c>
      <c r="G347" s="96"/>
    </row>
    <row r="348" spans="1:9">
      <c r="D348" s="480"/>
      <c r="E348" s="480"/>
      <c r="F348" s="480"/>
    </row>
    <row r="349" spans="1:9" ht="13.5" thickBot="1">
      <c r="A349" s="1056"/>
      <c r="B349" s="1056"/>
      <c r="C349" s="1056"/>
      <c r="D349" s="1338" t="s">
        <v>1020</v>
      </c>
      <c r="E349" s="1338"/>
      <c r="F349" s="1338"/>
      <c r="G349" s="1066"/>
      <c r="H349" s="1066"/>
      <c r="I349" s="1067"/>
    </row>
    <row r="350" spans="1:9" ht="13.5" thickTop="1">
      <c r="D350" s="1328" t="s">
        <v>1260</v>
      </c>
      <c r="E350" s="1328"/>
      <c r="F350" s="1328"/>
    </row>
    <row r="351" spans="1:9">
      <c r="D351" s="481"/>
      <c r="E351" s="481"/>
      <c r="F351" s="481"/>
    </row>
    <row r="352" spans="1:9">
      <c r="A352" s="511"/>
      <c r="B352" s="511"/>
      <c r="C352" s="511"/>
      <c r="D352" s="482"/>
      <c r="E352" s="482"/>
      <c r="F352" s="481"/>
      <c r="I352" s="436" t="s">
        <v>2169</v>
      </c>
    </row>
    <row r="353" spans="1:9" ht="14.25">
      <c r="A353" s="519"/>
      <c r="B353" s="520" t="s">
        <v>2780</v>
      </c>
      <c r="C353" s="522"/>
      <c r="D353" s="1306" t="s">
        <v>2279</v>
      </c>
      <c r="E353" s="1306"/>
      <c r="F353" s="1306"/>
      <c r="I353" s="1324" t="s">
        <v>2219</v>
      </c>
    </row>
    <row r="354" spans="1:9" ht="12.75" customHeight="1">
      <c r="D354" s="1078"/>
      <c r="E354" s="96" t="s">
        <v>2278</v>
      </c>
      <c r="F354" s="1078"/>
      <c r="I354" s="1325"/>
    </row>
    <row r="355" spans="1:9">
      <c r="D355" s="1277" t="s">
        <v>1387</v>
      </c>
      <c r="E355" s="1277"/>
      <c r="F355" s="1277"/>
      <c r="I355" s="1325"/>
    </row>
    <row r="356" spans="1:9">
      <c r="D356" s="1277"/>
      <c r="E356" s="1277"/>
      <c r="F356" s="1277"/>
      <c r="I356" s="1325"/>
    </row>
    <row r="357" spans="1:9">
      <c r="D357" s="1277"/>
      <c r="E357" s="1277"/>
      <c r="F357" s="1277"/>
      <c r="I357" s="1326"/>
    </row>
    <row r="358" spans="1:9" ht="14.25">
      <c r="A358" s="519"/>
      <c r="B358" s="520" t="s">
        <v>2780</v>
      </c>
      <c r="C358" s="511"/>
      <c r="D358" s="1310" t="s">
        <v>2451</v>
      </c>
      <c r="E358" s="1310"/>
      <c r="F358" s="1310"/>
      <c r="I358" s="434"/>
    </row>
    <row r="359" spans="1:9">
      <c r="A359" s="511"/>
      <c r="B359" s="511"/>
      <c r="C359" s="511"/>
      <c r="D359" s="482"/>
      <c r="E359" s="482"/>
      <c r="F359" s="481"/>
    </row>
    <row r="360" spans="1:9">
      <c r="A360" s="511"/>
      <c r="B360" s="520" t="s">
        <v>2780</v>
      </c>
      <c r="C360" s="511"/>
      <c r="D360" s="1265" t="s">
        <v>2452</v>
      </c>
      <c r="E360" s="1265"/>
      <c r="F360" s="1265"/>
    </row>
    <row r="361" spans="1:9">
      <c r="A361" s="511"/>
      <c r="B361" s="511"/>
      <c r="C361" s="511"/>
      <c r="D361" s="1265"/>
      <c r="E361" s="1265"/>
      <c r="F361" s="1265"/>
    </row>
    <row r="362" spans="1:9">
      <c r="A362" s="511"/>
      <c r="B362" s="511"/>
      <c r="C362" s="511"/>
      <c r="D362" s="1265"/>
      <c r="E362" s="1265"/>
      <c r="F362" s="1265"/>
    </row>
    <row r="363" spans="1:9">
      <c r="A363" s="511"/>
      <c r="B363" s="511"/>
      <c r="C363" s="511"/>
      <c r="D363" s="1265"/>
      <c r="E363" s="1265"/>
      <c r="F363" s="1265"/>
    </row>
    <row r="364" spans="1:9">
      <c r="A364" s="511"/>
      <c r="B364" s="511"/>
      <c r="C364" s="511"/>
      <c r="D364" s="1265"/>
      <c r="E364" s="1265"/>
      <c r="F364" s="1265"/>
    </row>
    <row r="365" spans="1:9">
      <c r="A365" s="511"/>
      <c r="B365" s="511"/>
      <c r="C365" s="511"/>
      <c r="D365" s="1265"/>
      <c r="E365" s="1265"/>
      <c r="F365" s="1265"/>
    </row>
    <row r="366" spans="1:9">
      <c r="A366" s="511"/>
      <c r="B366" s="511"/>
      <c r="C366" s="511"/>
      <c r="D366" s="1265"/>
      <c r="E366" s="1265"/>
      <c r="F366" s="1265"/>
    </row>
    <row r="367" spans="1:9">
      <c r="A367" s="511"/>
      <c r="B367" s="511"/>
      <c r="C367" s="511"/>
      <c r="D367" s="1265"/>
      <c r="E367" s="1265"/>
      <c r="F367" s="1265"/>
    </row>
    <row r="368" spans="1:9">
      <c r="A368" s="511"/>
      <c r="B368" s="511"/>
      <c r="C368" s="511"/>
      <c r="D368" s="1265"/>
      <c r="E368" s="1265"/>
      <c r="F368" s="1265"/>
    </row>
    <row r="369" spans="1:6">
      <c r="A369" s="511"/>
      <c r="B369" s="511"/>
      <c r="C369" s="511"/>
      <c r="D369" s="1265"/>
      <c r="E369" s="1265"/>
      <c r="F369" s="1265"/>
    </row>
    <row r="370" spans="1:6">
      <c r="A370" s="511"/>
      <c r="B370" s="511"/>
      <c r="C370" s="511"/>
      <c r="D370" s="1265"/>
      <c r="E370" s="1265"/>
      <c r="F370" s="1265"/>
    </row>
    <row r="371" spans="1:6">
      <c r="A371" s="511"/>
      <c r="B371" s="511"/>
      <c r="C371" s="511"/>
      <c r="D371" s="1265"/>
      <c r="E371" s="1265"/>
      <c r="F371" s="1265"/>
    </row>
    <row r="372" spans="1:6">
      <c r="A372" s="511"/>
      <c r="B372" s="511"/>
      <c r="C372" s="511"/>
      <c r="D372" s="486"/>
      <c r="E372" s="486"/>
      <c r="F372" s="486"/>
    </row>
    <row r="373" spans="1:6" ht="12.4" customHeight="1">
      <c r="A373" s="511"/>
      <c r="B373" s="520" t="s">
        <v>2780</v>
      </c>
      <c r="C373" s="511"/>
      <c r="D373" s="1321" t="s">
        <v>1367</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2780</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2780</v>
      </c>
      <c r="C385" s="511"/>
      <c r="D385" s="1265" t="s">
        <v>1263</v>
      </c>
      <c r="E385" s="1265"/>
      <c r="F385" s="1265"/>
    </row>
    <row r="386" spans="1:6">
      <c r="A386" s="511"/>
      <c r="B386" s="511"/>
      <c r="C386" s="511"/>
      <c r="D386" s="1265"/>
      <c r="E386" s="1265"/>
      <c r="F386" s="1265"/>
    </row>
    <row r="387" spans="1:6">
      <c r="A387" s="511"/>
      <c r="B387" s="511"/>
      <c r="C387" s="511"/>
      <c r="D387" s="1265"/>
      <c r="E387" s="1265"/>
      <c r="F387" s="1265"/>
    </row>
    <row r="388" spans="1:6">
      <c r="A388" s="511"/>
      <c r="B388" s="511"/>
      <c r="C388" s="511"/>
      <c r="D388" s="1265"/>
      <c r="E388" s="1265"/>
      <c r="F388" s="1265"/>
    </row>
    <row r="389" spans="1:6">
      <c r="A389" s="511"/>
      <c r="B389" s="511"/>
      <c r="C389" s="511"/>
      <c r="D389" s="482"/>
      <c r="E389" s="482"/>
      <c r="F389" s="481"/>
    </row>
    <row r="390" spans="1:6">
      <c r="A390" s="511"/>
      <c r="B390" s="511"/>
      <c r="C390" s="511"/>
      <c r="D390" s="1265" t="s">
        <v>1264</v>
      </c>
      <c r="E390" s="1265"/>
      <c r="F390" s="1265"/>
    </row>
    <row r="391" spans="1:6">
      <c r="A391" s="511"/>
      <c r="B391" s="511"/>
      <c r="C391" s="511"/>
      <c r="D391" s="1265"/>
      <c r="E391" s="1265"/>
      <c r="F391" s="1265"/>
    </row>
    <row r="392" spans="1:6">
      <c r="A392" s="511"/>
      <c r="B392" s="511"/>
      <c r="C392" s="511"/>
      <c r="D392" s="1265"/>
      <c r="E392" s="1265"/>
      <c r="F392" s="1265"/>
    </row>
    <row r="393" spans="1:6">
      <c r="A393" s="511"/>
      <c r="B393" s="511"/>
      <c r="C393" s="511"/>
      <c r="D393" s="1265"/>
      <c r="E393" s="1265"/>
      <c r="F393" s="1265"/>
    </row>
    <row r="394" spans="1:6" ht="18" customHeight="1">
      <c r="A394" s="511"/>
      <c r="B394" s="511"/>
      <c r="C394" s="511"/>
      <c r="D394" s="1265"/>
      <c r="E394" s="1265"/>
      <c r="F394" s="1265"/>
    </row>
    <row r="395" spans="1:6">
      <c r="A395" s="511"/>
      <c r="B395" s="511"/>
      <c r="C395" s="511"/>
      <c r="D395" s="1265"/>
      <c r="E395" s="1265"/>
      <c r="F395" s="1265"/>
    </row>
    <row r="396" spans="1:6">
      <c r="A396" s="511"/>
      <c r="B396" s="511"/>
      <c r="C396" s="511"/>
      <c r="D396" s="1265"/>
      <c r="E396" s="1265"/>
      <c r="F396" s="1265"/>
    </row>
    <row r="397" spans="1:6">
      <c r="A397" s="511"/>
      <c r="B397" s="511"/>
      <c r="C397" s="511"/>
      <c r="D397" s="1265"/>
      <c r="E397" s="1265"/>
      <c r="F397" s="1265"/>
    </row>
    <row r="398" spans="1:6" ht="8.25" customHeight="1">
      <c r="A398" s="511"/>
      <c r="B398" s="511"/>
      <c r="C398" s="511"/>
      <c r="D398" s="1265"/>
      <c r="E398" s="1265"/>
      <c r="F398" s="1265"/>
    </row>
    <row r="399" spans="1:6" ht="13.7" customHeight="1">
      <c r="A399" s="511"/>
      <c r="B399" s="511"/>
      <c r="C399" s="511"/>
      <c r="D399" s="1265" t="s">
        <v>1265</v>
      </c>
      <c r="E399" s="1265"/>
      <c r="F399" s="1265"/>
    </row>
    <row r="400" spans="1:6">
      <c r="A400" s="511"/>
      <c r="B400" s="511"/>
      <c r="C400" s="511"/>
      <c r="D400" s="1265"/>
      <c r="E400" s="1265"/>
      <c r="F400" s="1265"/>
    </row>
    <row r="401" spans="1:6">
      <c r="A401" s="511"/>
      <c r="B401" s="511"/>
      <c r="C401" s="511"/>
      <c r="D401" s="1265"/>
      <c r="E401" s="1265"/>
      <c r="F401" s="1265"/>
    </row>
    <row r="402" spans="1:6">
      <c r="A402" s="511"/>
      <c r="B402" s="511"/>
      <c r="C402" s="511"/>
      <c r="D402" s="1265"/>
      <c r="E402" s="1265"/>
      <c r="F402" s="1265"/>
    </row>
    <row r="403" spans="1:6">
      <c r="A403" s="511"/>
      <c r="B403" s="511"/>
      <c r="C403" s="511"/>
      <c r="D403" s="1265"/>
      <c r="E403" s="1265"/>
      <c r="F403" s="1265"/>
    </row>
    <row r="404" spans="1:6">
      <c r="A404" s="511"/>
      <c r="B404" s="511"/>
      <c r="C404" s="511"/>
      <c r="D404" s="1265"/>
      <c r="E404" s="1265"/>
      <c r="F404" s="1265"/>
    </row>
    <row r="405" spans="1:6">
      <c r="A405" s="511"/>
      <c r="B405" s="511"/>
      <c r="C405" s="511"/>
      <c r="D405" s="1265"/>
      <c r="E405" s="1265"/>
      <c r="F405" s="1265"/>
    </row>
    <row r="406" spans="1:6">
      <c r="A406" s="511"/>
      <c r="B406" s="511"/>
      <c r="C406" s="511"/>
      <c r="D406" s="1265"/>
      <c r="E406" s="1265"/>
      <c r="F406" s="1265"/>
    </row>
    <row r="407" spans="1:6">
      <c r="A407" s="511"/>
      <c r="B407" s="511"/>
      <c r="C407" s="511"/>
      <c r="D407" s="1265"/>
      <c r="E407" s="1265"/>
      <c r="F407" s="1265"/>
    </row>
    <row r="408" spans="1:6">
      <c r="A408" s="511"/>
      <c r="B408" s="511"/>
      <c r="C408" s="511"/>
      <c r="D408" s="1265"/>
      <c r="E408" s="1265"/>
      <c r="F408" s="1265"/>
    </row>
    <row r="409" spans="1:6">
      <c r="A409" s="511"/>
      <c r="B409" s="511"/>
      <c r="C409" s="511"/>
      <c r="D409" s="1265"/>
      <c r="E409" s="1265"/>
      <c r="F409" s="1265"/>
    </row>
    <row r="410" spans="1:6">
      <c r="A410" s="511"/>
      <c r="B410" s="511"/>
      <c r="C410" s="511"/>
      <c r="D410" s="1265"/>
      <c r="E410" s="1265"/>
      <c r="F410" s="1265"/>
    </row>
    <row r="411" spans="1:6">
      <c r="A411" s="511"/>
      <c r="B411" s="511"/>
      <c r="C411" s="531"/>
      <c r="D411" s="1265"/>
      <c r="E411" s="1265"/>
      <c r="F411" s="1265"/>
    </row>
    <row r="412" spans="1:6">
      <c r="A412" s="511"/>
      <c r="B412" s="511"/>
      <c r="C412" s="531"/>
      <c r="D412" s="1265"/>
      <c r="E412" s="1265"/>
      <c r="F412" s="1265"/>
    </row>
    <row r="413" spans="1:6">
      <c r="A413" s="511"/>
      <c r="B413" s="511"/>
      <c r="C413" s="511"/>
      <c r="D413" s="1265"/>
      <c r="E413" s="1265"/>
      <c r="F413" s="1265"/>
    </row>
    <row r="414" spans="1:6">
      <c r="A414" s="511"/>
      <c r="B414" s="511"/>
      <c r="C414" s="531"/>
      <c r="D414" s="1265"/>
      <c r="E414" s="1265"/>
      <c r="F414" s="1265"/>
    </row>
    <row r="415" spans="1:6">
      <c r="A415" s="511"/>
      <c r="B415" s="511"/>
      <c r="C415" s="531"/>
      <c r="D415" s="1265"/>
      <c r="E415" s="1265"/>
      <c r="F415" s="1265"/>
    </row>
    <row r="416" spans="1:6">
      <c r="A416" s="511"/>
      <c r="B416" s="511"/>
      <c r="C416" s="531"/>
      <c r="D416" s="1265"/>
      <c r="E416" s="1265"/>
      <c r="F416" s="1265"/>
    </row>
    <row r="417" spans="1:6">
      <c r="A417" s="511"/>
      <c r="B417" s="511"/>
      <c r="C417" s="511"/>
      <c r="D417" s="482"/>
      <c r="E417" s="482"/>
      <c r="F417" s="481"/>
    </row>
    <row r="418" spans="1:6">
      <c r="A418" s="511"/>
      <c r="B418" s="520" t="s">
        <v>2780</v>
      </c>
      <c r="C418" s="511"/>
      <c r="D418" s="1265" t="s">
        <v>1266</v>
      </c>
      <c r="E418" s="1265"/>
      <c r="F418" s="1265"/>
    </row>
    <row r="419" spans="1:6">
      <c r="A419" s="511"/>
      <c r="B419" s="511"/>
      <c r="C419" s="511"/>
      <c r="D419" s="1265"/>
      <c r="E419" s="1265"/>
      <c r="F419" s="1265"/>
    </row>
    <row r="420" spans="1:6">
      <c r="A420" s="511"/>
      <c r="B420" s="511"/>
      <c r="C420" s="511"/>
      <c r="D420" s="486"/>
      <c r="E420" s="486"/>
      <c r="F420" s="486"/>
    </row>
    <row r="421" spans="1:6" ht="14.45" customHeight="1">
      <c r="A421" s="519"/>
      <c r="B421" s="520" t="s">
        <v>2780</v>
      </c>
      <c r="D421" s="1265" t="s">
        <v>2206</v>
      </c>
      <c r="E421" s="1265"/>
      <c r="F421" s="1265"/>
    </row>
    <row r="422" spans="1:6" ht="14.45" customHeight="1">
      <c r="A422" s="519"/>
      <c r="D422" s="1265"/>
      <c r="E422" s="1265"/>
      <c r="F422" s="1265"/>
    </row>
    <row r="423" spans="1:6" ht="14.45" customHeight="1">
      <c r="A423" s="519"/>
      <c r="D423" s="1265"/>
      <c r="E423" s="1265"/>
      <c r="F423" s="1265"/>
    </row>
    <row r="424" spans="1:6" ht="14.45" customHeight="1">
      <c r="A424" s="519"/>
      <c r="D424" s="1265"/>
      <c r="E424" s="1265"/>
      <c r="F424" s="1265"/>
    </row>
    <row r="425" spans="1:6" ht="14.45" customHeight="1">
      <c r="A425" s="519"/>
      <c r="D425" s="1265"/>
      <c r="E425" s="1265"/>
      <c r="F425" s="1265"/>
    </row>
    <row r="426" spans="1:6" ht="14.45" customHeight="1">
      <c r="A426" s="519"/>
      <c r="D426" s="417"/>
      <c r="E426" s="417"/>
      <c r="F426" s="417"/>
    </row>
    <row r="427" spans="1:6" ht="13.7" customHeight="1">
      <c r="A427" s="519"/>
      <c r="B427" s="520" t="s">
        <v>2780</v>
      </c>
      <c r="C427" s="511"/>
      <c r="D427" s="1265" t="s">
        <v>1389</v>
      </c>
      <c r="E427" s="1265"/>
      <c r="F427" s="1265"/>
    </row>
    <row r="428" spans="1:6" ht="14.25">
      <c r="A428" s="532"/>
      <c r="B428" s="532"/>
      <c r="C428" s="511"/>
      <c r="D428" s="1265"/>
      <c r="E428" s="1265"/>
      <c r="F428" s="1265"/>
    </row>
    <row r="429" spans="1:6" ht="14.25">
      <c r="A429" s="532"/>
      <c r="B429" s="532"/>
      <c r="C429" s="511"/>
      <c r="D429" s="1265"/>
      <c r="E429" s="1265"/>
      <c r="F429" s="1265"/>
    </row>
    <row r="430" spans="1:6" ht="14.25">
      <c r="A430" s="532"/>
      <c r="B430" s="532"/>
      <c r="C430" s="511"/>
      <c r="D430" s="1265"/>
      <c r="E430" s="1265"/>
      <c r="F430" s="1265"/>
    </row>
    <row r="431" spans="1:6" ht="15.75" customHeight="1">
      <c r="A431" s="532"/>
      <c r="B431" s="532"/>
      <c r="C431" s="511"/>
      <c r="D431" s="1329" t="s">
        <v>2470</v>
      </c>
      <c r="E431" s="1265"/>
      <c r="F431" s="1265"/>
    </row>
    <row r="432" spans="1:6">
      <c r="D432" s="481"/>
      <c r="E432" s="481"/>
      <c r="F432" s="481"/>
    </row>
    <row r="433" spans="1:6" ht="14.25">
      <c r="A433" s="519"/>
      <c r="B433" s="520" t="s">
        <v>2780</v>
      </c>
      <c r="C433" s="522"/>
      <c r="D433" s="1277" t="s">
        <v>2453</v>
      </c>
      <c r="E433" s="1277"/>
      <c r="F433" s="1277"/>
    </row>
    <row r="434" spans="1:6" ht="14.25">
      <c r="A434" s="519"/>
      <c r="B434" s="519"/>
      <c r="D434" s="1277"/>
      <c r="E434" s="1277"/>
      <c r="F434" s="1277"/>
    </row>
    <row r="435" spans="1:6">
      <c r="D435" s="1277"/>
      <c r="E435" s="1277"/>
      <c r="F435" s="1277"/>
    </row>
    <row r="436" spans="1:6">
      <c r="D436" s="1277"/>
      <c r="E436" s="1277"/>
      <c r="F436" s="1277"/>
    </row>
    <row r="437" spans="1:6">
      <c r="D437" s="1277"/>
      <c r="E437" s="1277"/>
      <c r="F437" s="1277"/>
    </row>
    <row r="438" spans="1:6">
      <c r="D438" s="1277"/>
      <c r="E438" s="1277"/>
      <c r="F438" s="1277"/>
    </row>
    <row r="439" spans="1:6">
      <c r="D439" s="1277"/>
      <c r="E439" s="1277"/>
      <c r="F439" s="1277"/>
    </row>
    <row r="440" spans="1:6">
      <c r="D440" s="1277"/>
      <c r="E440" s="1277"/>
      <c r="F440" s="1277"/>
    </row>
    <row r="441" spans="1:6">
      <c r="D441" s="1277"/>
      <c r="E441" s="1277"/>
      <c r="F441" s="1277"/>
    </row>
    <row r="442" spans="1:6">
      <c r="D442" s="1277"/>
      <c r="E442" s="1277"/>
      <c r="F442" s="1277"/>
    </row>
    <row r="443" spans="1:6">
      <c r="D443" s="1277"/>
      <c r="E443" s="1277"/>
      <c r="F443" s="1277"/>
    </row>
    <row r="444" spans="1:6">
      <c r="D444" s="1277"/>
      <c r="E444" s="1277"/>
      <c r="F444" s="1277"/>
    </row>
    <row r="445" spans="1:6">
      <c r="D445" s="1277"/>
      <c r="E445" s="1277"/>
      <c r="F445" s="1277"/>
    </row>
    <row r="446" spans="1:6">
      <c r="A446" s="434"/>
      <c r="B446" s="434"/>
      <c r="C446" s="434"/>
      <c r="D446" s="1277"/>
      <c r="E446" s="1277"/>
      <c r="F446" s="1277"/>
    </row>
    <row r="447" spans="1:6">
      <c r="A447" s="434"/>
      <c r="B447" s="434"/>
      <c r="C447" s="434"/>
      <c r="D447" s="1277"/>
      <c r="E447" s="1277"/>
      <c r="F447" s="1277"/>
    </row>
    <row r="448" spans="1:6">
      <c r="A448" s="434"/>
      <c r="B448" s="434"/>
      <c r="C448" s="434"/>
      <c r="D448" s="1277"/>
      <c r="E448" s="1277"/>
      <c r="F448" s="1277"/>
    </row>
    <row r="449" spans="1:6">
      <c r="A449" s="434"/>
      <c r="B449" s="434"/>
      <c r="C449" s="434"/>
      <c r="D449" s="1277"/>
      <c r="E449" s="1277"/>
      <c r="F449" s="1277"/>
    </row>
    <row r="450" spans="1:6">
      <c r="A450" s="434"/>
      <c r="B450" s="434"/>
      <c r="C450" s="434"/>
      <c r="D450" s="1277"/>
      <c r="E450" s="1277"/>
      <c r="F450" s="1277"/>
    </row>
    <row r="451" spans="1:6">
      <c r="A451" s="434"/>
      <c r="B451" s="434"/>
      <c r="C451" s="434"/>
      <c r="D451" s="1277"/>
      <c r="E451" s="1277"/>
      <c r="F451" s="1277"/>
    </row>
    <row r="452" spans="1:6">
      <c r="A452" s="434"/>
      <c r="B452" s="434"/>
      <c r="C452" s="434"/>
      <c r="D452" s="1277"/>
      <c r="E452" s="1277"/>
      <c r="F452" s="1277"/>
    </row>
    <row r="453" spans="1:6">
      <c r="A453" s="434"/>
      <c r="B453" s="434"/>
      <c r="C453" s="434"/>
      <c r="D453" s="1277"/>
      <c r="E453" s="1277"/>
      <c r="F453" s="1277"/>
    </row>
    <row r="454" spans="1:6">
      <c r="A454" s="434"/>
      <c r="B454" s="434"/>
      <c r="C454" s="434"/>
      <c r="D454" s="1277"/>
      <c r="E454" s="1277"/>
      <c r="F454" s="1277"/>
    </row>
    <row r="455" spans="1:6">
      <c r="A455" s="434"/>
      <c r="B455" s="434"/>
      <c r="C455" s="434"/>
      <c r="D455" s="1277"/>
      <c r="E455" s="1277"/>
      <c r="F455" s="1277"/>
    </row>
    <row r="456" spans="1:6">
      <c r="A456" s="434"/>
      <c r="B456" s="434"/>
      <c r="C456" s="434"/>
      <c r="D456" s="1277"/>
      <c r="E456" s="1277"/>
      <c r="F456" s="1277"/>
    </row>
    <row r="457" spans="1:6">
      <c r="A457" s="434"/>
      <c r="B457" s="434"/>
      <c r="C457" s="434"/>
      <c r="D457" s="1277"/>
      <c r="E457" s="1277"/>
      <c r="F457" s="1277"/>
    </row>
    <row r="458" spans="1:6">
      <c r="A458" s="434"/>
      <c r="B458" s="434"/>
      <c r="C458" s="434"/>
      <c r="D458" s="1277"/>
      <c r="E458" s="1277"/>
      <c r="F458" s="1277"/>
    </row>
    <row r="459" spans="1:6">
      <c r="A459" s="434"/>
      <c r="B459" s="434"/>
      <c r="C459" s="434"/>
      <c r="D459" s="1277"/>
      <c r="E459" s="1277"/>
      <c r="F459" s="1277"/>
    </row>
    <row r="460" spans="1:6">
      <c r="A460" s="434"/>
      <c r="B460" s="434"/>
      <c r="C460" s="434"/>
      <c r="D460" s="1277"/>
      <c r="E460" s="1277"/>
      <c r="F460" s="1277"/>
    </row>
    <row r="461" spans="1:6">
      <c r="A461" s="434"/>
      <c r="B461" s="434"/>
      <c r="C461" s="434"/>
      <c r="D461" s="1277"/>
      <c r="E461" s="1277"/>
      <c r="F461" s="1277"/>
    </row>
    <row r="462" spans="1:6">
      <c r="D462" s="1277"/>
      <c r="E462" s="1277"/>
      <c r="F462" s="1277"/>
    </row>
    <row r="463" spans="1:6" ht="40.700000000000003" customHeight="1">
      <c r="D463" s="1277"/>
      <c r="E463" s="1277"/>
      <c r="F463" s="1277"/>
    </row>
    <row r="464" spans="1:6">
      <c r="D464" s="481"/>
      <c r="E464" s="481"/>
      <c r="F464" s="481"/>
    </row>
    <row r="465" spans="1:6" ht="14.25">
      <c r="A465" s="519"/>
      <c r="B465" s="520" t="s">
        <v>2780</v>
      </c>
      <c r="C465" s="522"/>
      <c r="D465" s="1277" t="s">
        <v>1271</v>
      </c>
      <c r="E465" s="1277"/>
      <c r="F465" s="1277"/>
    </row>
    <row r="466" spans="1:6">
      <c r="D466" s="1277"/>
      <c r="E466" s="1277"/>
      <c r="F466" s="1277"/>
    </row>
    <row r="467" spans="1:6">
      <c r="D467" s="1277"/>
      <c r="E467" s="1277"/>
      <c r="F467" s="1277"/>
    </row>
    <row r="468" spans="1:6">
      <c r="D468" s="480"/>
      <c r="E468" s="480"/>
      <c r="F468" s="480"/>
    </row>
    <row r="469" spans="1:6" ht="14.25">
      <c r="B469" s="520" t="s">
        <v>2780</v>
      </c>
      <c r="C469" s="519"/>
      <c r="D469" s="1277" t="s">
        <v>1341</v>
      </c>
      <c r="E469" s="1277"/>
      <c r="F469" s="1277"/>
    </row>
    <row r="470" spans="1:6">
      <c r="D470" s="1277"/>
      <c r="E470" s="1277"/>
      <c r="F470" s="1277"/>
    </row>
    <row r="471" spans="1:6">
      <c r="D471" s="481"/>
      <c r="E471" s="481"/>
      <c r="F471" s="481"/>
    </row>
    <row r="472" spans="1:6" ht="14.25">
      <c r="B472" s="520" t="s">
        <v>2780</v>
      </c>
      <c r="C472" s="519"/>
      <c r="D472" s="1277" t="s">
        <v>1273</v>
      </c>
      <c r="E472" s="1277"/>
      <c r="F472" s="1277"/>
    </row>
    <row r="473" spans="1:6">
      <c r="D473" s="1277"/>
      <c r="E473" s="1277"/>
      <c r="F473" s="1277"/>
    </row>
    <row r="474" spans="1:6">
      <c r="D474" s="1277"/>
      <c r="E474" s="1277"/>
      <c r="F474" s="1277"/>
    </row>
    <row r="475" spans="1:6">
      <c r="D475" s="1277"/>
      <c r="E475" s="1277"/>
      <c r="F475" s="1277"/>
    </row>
    <row r="476" spans="1:6">
      <c r="B476" s="520" t="s">
        <v>2780</v>
      </c>
      <c r="D476" s="1277"/>
      <c r="E476" s="1277"/>
      <c r="F476" s="1277"/>
    </row>
    <row r="477" spans="1:6">
      <c r="A477" s="434"/>
      <c r="B477" s="434"/>
      <c r="C477" s="434"/>
      <c r="D477" s="1277"/>
      <c r="E477" s="1277"/>
      <c r="F477" s="1277"/>
    </row>
    <row r="478" spans="1:6">
      <c r="A478" s="434"/>
      <c r="C478" s="434"/>
      <c r="D478" s="1277"/>
      <c r="E478" s="1277"/>
      <c r="F478" s="1277"/>
    </row>
    <row r="479" spans="1:6">
      <c r="A479" s="434"/>
      <c r="B479" s="520" t="s">
        <v>2780</v>
      </c>
      <c r="C479" s="434"/>
      <c r="D479" s="1277"/>
      <c r="E479" s="1277"/>
      <c r="F479" s="1277"/>
    </row>
    <row r="480" spans="1:6">
      <c r="A480" s="434"/>
      <c r="B480" s="434"/>
      <c r="C480" s="434"/>
      <c r="D480" s="1277"/>
      <c r="E480" s="1277"/>
      <c r="F480" s="1277"/>
    </row>
    <row r="481" spans="1:9">
      <c r="A481" s="434"/>
      <c r="C481" s="434"/>
      <c r="D481" s="1277"/>
      <c r="E481" s="1277"/>
      <c r="F481" s="1277"/>
    </row>
    <row r="482" spans="1:9">
      <c r="A482" s="434"/>
      <c r="C482" s="434"/>
      <c r="D482" s="1277"/>
      <c r="E482" s="1277"/>
      <c r="F482" s="1277"/>
    </row>
    <row r="483" spans="1:9">
      <c r="A483" s="434"/>
      <c r="C483" s="434"/>
      <c r="D483" s="1277"/>
      <c r="E483" s="1277"/>
      <c r="F483" s="1277"/>
    </row>
    <row r="484" spans="1:9">
      <c r="A484" s="434"/>
      <c r="B484" s="520" t="s">
        <v>2780</v>
      </c>
      <c r="C484" s="434"/>
      <c r="D484" s="1277"/>
      <c r="E484" s="1277"/>
      <c r="F484" s="1277"/>
    </row>
    <row r="485" spans="1:9">
      <c r="A485" s="434"/>
      <c r="C485" s="434"/>
      <c r="D485" s="1277"/>
      <c r="E485" s="1277"/>
      <c r="F485" s="1277"/>
    </row>
    <row r="486" spans="1:9">
      <c r="A486" s="434"/>
      <c r="B486" s="520" t="s">
        <v>2780</v>
      </c>
      <c r="C486" s="434"/>
      <c r="D486" s="1277" t="s">
        <v>1274</v>
      </c>
      <c r="E486" s="1277"/>
      <c r="F486" s="1277"/>
    </row>
    <row r="487" spans="1:9">
      <c r="A487" s="434"/>
      <c r="B487" s="434"/>
      <c r="C487" s="434"/>
      <c r="D487" s="1277"/>
      <c r="E487" s="1277"/>
      <c r="F487" s="1277"/>
    </row>
    <row r="488" spans="1:9">
      <c r="A488" s="434"/>
      <c r="B488" s="434"/>
      <c r="C488" s="434"/>
      <c r="D488" s="1277"/>
      <c r="E488" s="1277"/>
      <c r="F488" s="1277"/>
    </row>
    <row r="489" spans="1:9">
      <c r="A489" s="434"/>
      <c r="B489" s="434"/>
      <c r="C489" s="434"/>
      <c r="D489" s="1277"/>
      <c r="E489" s="1277"/>
      <c r="F489" s="1277"/>
    </row>
    <row r="490" spans="1:9">
      <c r="D490" s="1277"/>
      <c r="E490" s="1277"/>
      <c r="F490" s="1277"/>
    </row>
    <row r="491" spans="1:9">
      <c r="D491" s="481"/>
      <c r="E491" s="481"/>
      <c r="F491" s="481"/>
    </row>
    <row r="492" spans="1:9">
      <c r="B492" s="520" t="s">
        <v>2780</v>
      </c>
      <c r="D492" s="1306" t="s">
        <v>1275</v>
      </c>
      <c r="E492" s="1306"/>
      <c r="F492" s="1306"/>
    </row>
    <row r="493" spans="1:9">
      <c r="A493" s="481"/>
      <c r="B493" s="481"/>
    </row>
    <row r="494" spans="1:9">
      <c r="A494" s="1283" t="s">
        <v>1116</v>
      </c>
      <c r="B494" s="1283"/>
      <c r="C494" s="1283"/>
      <c r="D494" s="1283"/>
      <c r="E494" s="1283"/>
      <c r="F494" s="1283"/>
      <c r="G494" s="1283"/>
      <c r="H494" s="1068"/>
      <c r="I494" s="1069"/>
    </row>
    <row r="495" spans="1:9">
      <c r="A495" s="481"/>
      <c r="B495" s="481"/>
    </row>
    <row r="496" spans="1:9">
      <c r="D496" s="1313" t="s">
        <v>913</v>
      </c>
      <c r="E496" s="1313"/>
      <c r="F496" s="1313"/>
    </row>
    <row r="497" spans="1:9" ht="14.25">
      <c r="A497" s="519"/>
      <c r="B497" s="519"/>
      <c r="D497" s="1310" t="s">
        <v>1276</v>
      </c>
      <c r="E497" s="1310"/>
      <c r="F497" s="1310"/>
    </row>
    <row r="498" spans="1:9" ht="14.25">
      <c r="A498" s="519"/>
      <c r="B498" s="519"/>
      <c r="D498" s="482"/>
    </row>
    <row r="499" spans="1:9" ht="14.25">
      <c r="A499" s="519"/>
      <c r="B499" s="520" t="s">
        <v>2780</v>
      </c>
      <c r="D499" s="1265" t="s">
        <v>1277</v>
      </c>
      <c r="E499" s="1265"/>
      <c r="F499" s="1265"/>
      <c r="I499" s="436" t="s">
        <v>2170</v>
      </c>
    </row>
    <row r="500" spans="1:9" ht="14.25">
      <c r="A500" s="519"/>
      <c r="B500" s="519"/>
      <c r="D500" s="1265"/>
      <c r="E500" s="1265"/>
      <c r="F500" s="1265"/>
    </row>
    <row r="501" spans="1:9" ht="14.25">
      <c r="A501" s="519"/>
      <c r="B501" s="519"/>
      <c r="D501" s="481"/>
    </row>
    <row r="502" spans="1:9" ht="12.75" customHeight="1">
      <c r="B502" s="520" t="s">
        <v>2780</v>
      </c>
      <c r="D502" s="1299" t="s">
        <v>1433</v>
      </c>
      <c r="E502" s="1299"/>
      <c r="F502" s="1299"/>
      <c r="I502" s="436" t="s">
        <v>2171</v>
      </c>
    </row>
    <row r="503" spans="1:9" ht="14.25">
      <c r="A503" s="519"/>
      <c r="D503" s="1299"/>
      <c r="E503" s="1299"/>
      <c r="F503" s="1299"/>
    </row>
    <row r="504" spans="1:9" ht="14.25">
      <c r="A504" s="519"/>
      <c r="B504" s="519"/>
      <c r="D504" s="1299"/>
      <c r="E504" s="1299"/>
      <c r="F504" s="1299"/>
    </row>
    <row r="505" spans="1:9" ht="14.25">
      <c r="A505" s="519"/>
      <c r="B505" s="519"/>
      <c r="D505" s="1299"/>
      <c r="E505" s="1299"/>
      <c r="F505" s="1299"/>
    </row>
    <row r="506" spans="1:9" ht="14.25">
      <c r="A506" s="519"/>
      <c r="D506" s="555"/>
      <c r="E506" s="555"/>
      <c r="F506" s="555"/>
    </row>
    <row r="507" spans="1:9" ht="14.25">
      <c r="A507" s="519"/>
      <c r="B507" s="520" t="s">
        <v>2780</v>
      </c>
      <c r="D507" s="1306" t="s">
        <v>1280</v>
      </c>
      <c r="E507" s="1306"/>
      <c r="F507" s="1306"/>
      <c r="I507" s="436" t="s">
        <v>2172</v>
      </c>
    </row>
    <row r="508" spans="1:9" ht="14.25">
      <c r="A508" s="519"/>
      <c r="B508" s="519"/>
      <c r="D508" s="481"/>
    </row>
    <row r="509" spans="1:9" ht="14.25">
      <c r="A509" s="519"/>
      <c r="B509" s="520" t="s">
        <v>2780</v>
      </c>
      <c r="D509" s="1277" t="s">
        <v>1281</v>
      </c>
      <c r="E509" s="1277"/>
      <c r="F509" s="1277"/>
      <c r="I509" s="436" t="s">
        <v>2172</v>
      </c>
    </row>
    <row r="510" spans="1:9" ht="14.25">
      <c r="A510" s="519"/>
      <c r="D510" s="1277"/>
      <c r="E510" s="1277"/>
      <c r="F510" s="1277"/>
    </row>
    <row r="511" spans="1:9">
      <c r="A511" s="525"/>
      <c r="B511" s="525"/>
      <c r="D511" s="482"/>
    </row>
    <row r="512" spans="1:9">
      <c r="A512" s="525"/>
      <c r="B512" s="520" t="s">
        <v>2780</v>
      </c>
      <c r="D512" s="1306" t="s">
        <v>1282</v>
      </c>
      <c r="E512" s="1306"/>
      <c r="F512" s="1306"/>
      <c r="I512" s="436" t="s">
        <v>2225</v>
      </c>
    </row>
    <row r="513" spans="1:9" ht="14.25">
      <c r="A513" s="519"/>
      <c r="B513" s="519"/>
      <c r="D513" s="481"/>
    </row>
    <row r="514" spans="1:9">
      <c r="A514" s="1283" t="s">
        <v>1117</v>
      </c>
      <c r="B514" s="1283"/>
      <c r="C514" s="1283"/>
      <c r="D514" s="1283"/>
      <c r="E514" s="1283"/>
      <c r="F514" s="1283"/>
      <c r="G514" s="1283"/>
      <c r="H514" s="1068"/>
      <c r="I514" s="1069"/>
    </row>
    <row r="515" spans="1:9" ht="12" customHeight="1">
      <c r="A515" s="519"/>
      <c r="B515" s="519"/>
      <c r="D515" s="481"/>
    </row>
    <row r="516" spans="1:9">
      <c r="C516" s="517"/>
      <c r="D516" s="1275" t="s">
        <v>818</v>
      </c>
      <c r="E516" s="1275"/>
      <c r="F516" s="1275"/>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2779</v>
      </c>
      <c r="C520" s="518"/>
      <c r="D520" s="1265" t="s">
        <v>2454</v>
      </c>
      <c r="E520" s="1265"/>
      <c r="F520" s="1265"/>
      <c r="I520" s="436" t="s">
        <v>2207</v>
      </c>
    </row>
    <row r="521" spans="1:9">
      <c r="A521" s="518"/>
      <c r="B521" s="518"/>
      <c r="C521" s="518"/>
      <c r="D521" s="1265"/>
      <c r="E521" s="1265"/>
      <c r="F521" s="1265"/>
    </row>
    <row r="522" spans="1:9">
      <c r="A522" s="518"/>
      <c r="B522" s="518"/>
      <c r="C522" s="518"/>
      <c r="D522" s="486"/>
      <c r="E522" s="486"/>
      <c r="F522" s="486"/>
      <c r="I522" s="434"/>
    </row>
    <row r="523" spans="1:9" ht="12.75" customHeight="1">
      <c r="A523" s="518"/>
      <c r="B523" s="520" t="s">
        <v>2779</v>
      </c>
      <c r="D523" s="418" t="s">
        <v>2282</v>
      </c>
      <c r="E523" s="417"/>
      <c r="F523" s="417"/>
      <c r="I523" s="436" t="s">
        <v>2173</v>
      </c>
    </row>
    <row r="524" spans="1:9">
      <c r="A524" s="518"/>
      <c r="B524" s="518"/>
      <c r="C524" s="518"/>
      <c r="D524" s="417"/>
      <c r="E524" s="96" t="s">
        <v>2283</v>
      </c>
    </row>
    <row r="525" spans="1:9">
      <c r="A525" s="518"/>
      <c r="B525" s="518"/>
      <c r="D525" s="1321" t="s">
        <v>2455</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15" customHeight="1">
      <c r="A529" s="518"/>
      <c r="B529" s="520" t="s">
        <v>2780</v>
      </c>
      <c r="C529" s="518"/>
      <c r="D529" s="1277" t="s">
        <v>2456</v>
      </c>
      <c r="E529" s="1277"/>
      <c r="F529" s="1277"/>
      <c r="I529" s="436" t="s">
        <v>2173</v>
      </c>
    </row>
    <row r="530" spans="1:9">
      <c r="A530" s="518"/>
      <c r="B530" s="518"/>
      <c r="C530" s="518"/>
      <c r="D530" s="1277"/>
      <c r="E530" s="1277"/>
      <c r="F530" s="1277"/>
    </row>
    <row r="531" spans="1:9" ht="12" customHeight="1">
      <c r="A531" s="481"/>
      <c r="B531" s="481"/>
      <c r="C531" s="522"/>
      <c r="D531" s="481"/>
      <c r="F531" s="483"/>
    </row>
    <row r="532" spans="1:9">
      <c r="A532" s="1283" t="s">
        <v>1118</v>
      </c>
      <c r="B532" s="1283"/>
      <c r="C532" s="1283"/>
      <c r="D532" s="1283"/>
      <c r="E532" s="1283"/>
      <c r="F532" s="1283"/>
      <c r="G532" s="1283"/>
      <c r="H532" s="1068"/>
      <c r="I532" s="1069"/>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284" t="s">
        <v>1119</v>
      </c>
      <c r="B536" s="1284"/>
      <c r="C536" s="1284"/>
      <c r="D536" s="1284"/>
      <c r="E536" s="1284"/>
      <c r="F536" s="1284"/>
      <c r="G536" s="1284"/>
      <c r="H536" s="1068"/>
      <c r="I536" s="1069"/>
    </row>
    <row r="537" spans="1:9">
      <c r="A537" s="481"/>
      <c r="B537" s="481"/>
      <c r="C537" s="522"/>
      <c r="D537" s="481"/>
      <c r="F537" s="481"/>
    </row>
    <row r="538" spans="1:9">
      <c r="C538" s="522"/>
      <c r="D538" s="1275" t="s">
        <v>693</v>
      </c>
      <c r="E538" s="1275"/>
      <c r="F538" s="1275"/>
    </row>
    <row r="539" spans="1:9">
      <c r="C539" s="522"/>
      <c r="D539" s="1306" t="s">
        <v>1176</v>
      </c>
      <c r="E539" s="1306"/>
      <c r="F539" s="1306"/>
    </row>
    <row r="540" spans="1:9">
      <c r="C540" s="522"/>
      <c r="D540" s="481"/>
      <c r="E540" s="481"/>
      <c r="F540" s="481"/>
    </row>
    <row r="541" spans="1:9" ht="13.7" customHeight="1">
      <c r="A541" s="519"/>
      <c r="B541" s="520" t="s">
        <v>2779</v>
      </c>
      <c r="C541" s="522"/>
      <c r="D541" s="1306" t="s">
        <v>914</v>
      </c>
      <c r="E541" s="1306"/>
      <c r="F541" s="1306"/>
      <c r="I541" s="436" t="s">
        <v>2223</v>
      </c>
    </row>
    <row r="542" spans="1:9" ht="13.7" customHeight="1">
      <c r="A542" s="522"/>
      <c r="B542" s="522"/>
      <c r="C542" s="522"/>
      <c r="D542" s="481"/>
    </row>
    <row r="543" spans="1:9" ht="14.25">
      <c r="A543" s="519"/>
      <c r="B543" s="520" t="s">
        <v>2779</v>
      </c>
      <c r="C543" s="522"/>
      <c r="D543" s="1277" t="s">
        <v>1177</v>
      </c>
      <c r="E543" s="1277"/>
      <c r="F543" s="1277"/>
      <c r="I543" s="436" t="s">
        <v>2223</v>
      </c>
    </row>
    <row r="544" spans="1:9">
      <c r="A544" s="522"/>
      <c r="B544" s="522"/>
      <c r="C544" s="522"/>
      <c r="D544" s="1277"/>
      <c r="E544" s="1277"/>
      <c r="F544" s="1277"/>
    </row>
    <row r="545" spans="1:9">
      <c r="A545" s="522"/>
      <c r="B545" s="522"/>
      <c r="C545" s="522"/>
      <c r="D545" s="481"/>
      <c r="E545" s="481"/>
      <c r="F545" s="481"/>
    </row>
    <row r="546" spans="1:9" ht="14.25">
      <c r="A546" s="519"/>
      <c r="B546" s="520" t="s">
        <v>2779</v>
      </c>
      <c r="C546" s="522"/>
      <c r="D546" s="1277" t="s">
        <v>1178</v>
      </c>
      <c r="E546" s="1277"/>
      <c r="F546" s="1277"/>
      <c r="I546" s="436" t="s">
        <v>2174</v>
      </c>
    </row>
    <row r="547" spans="1:9">
      <c r="A547" s="522"/>
      <c r="B547" s="522"/>
      <c r="C547" s="522"/>
      <c r="D547" s="1277"/>
      <c r="E547" s="1277"/>
      <c r="F547" s="1277"/>
    </row>
    <row r="548" spans="1:9">
      <c r="A548" s="522"/>
      <c r="B548" s="522"/>
      <c r="C548" s="522"/>
      <c r="D548" s="481"/>
      <c r="E548" s="481"/>
      <c r="F548" s="481"/>
    </row>
    <row r="549" spans="1:9" ht="14.25">
      <c r="A549" s="519"/>
      <c r="B549" s="520" t="s">
        <v>2779</v>
      </c>
      <c r="C549" s="522"/>
      <c r="D549" s="1277" t="s">
        <v>1179</v>
      </c>
      <c r="E549" s="1277"/>
      <c r="F549" s="1277"/>
      <c r="I549" s="436" t="s">
        <v>2175</v>
      </c>
    </row>
    <row r="550" spans="1:9">
      <c r="A550" s="522"/>
      <c r="B550" s="522"/>
      <c r="C550" s="522"/>
      <c r="D550" s="1277"/>
      <c r="E550" s="1277"/>
      <c r="F550" s="1277"/>
    </row>
    <row r="551" spans="1:9">
      <c r="A551" s="522"/>
      <c r="B551" s="522"/>
      <c r="C551" s="522"/>
      <c r="D551" s="481"/>
      <c r="E551" s="481"/>
      <c r="F551" s="481"/>
    </row>
    <row r="552" spans="1:9" ht="14.25">
      <c r="A552" s="519"/>
      <c r="B552" s="520" t="s">
        <v>2779</v>
      </c>
      <c r="C552" s="522"/>
      <c r="D552" s="1277" t="s">
        <v>1180</v>
      </c>
      <c r="E552" s="1277"/>
      <c r="F552" s="1277"/>
      <c r="I552" s="436" t="s">
        <v>2224</v>
      </c>
    </row>
    <row r="553" spans="1:9">
      <c r="A553" s="522"/>
      <c r="B553" s="522"/>
      <c r="C553" s="522"/>
      <c r="D553" s="1277"/>
      <c r="E553" s="1277"/>
      <c r="F553" s="1277"/>
    </row>
    <row r="554" spans="1:9">
      <c r="A554" s="522"/>
      <c r="B554" s="522"/>
      <c r="C554" s="522"/>
      <c r="D554" s="1277"/>
      <c r="E554" s="1277"/>
      <c r="F554" s="1277"/>
    </row>
    <row r="555" spans="1:9">
      <c r="A555" s="522"/>
      <c r="B555" s="522"/>
      <c r="C555" s="522"/>
      <c r="D555" s="481"/>
      <c r="E555" s="481"/>
      <c r="F555" s="481"/>
    </row>
    <row r="556" spans="1:9" ht="14.25">
      <c r="A556" s="519"/>
      <c r="B556" s="520" t="s">
        <v>2780</v>
      </c>
      <c r="C556" s="522"/>
      <c r="D556" s="1277" t="s">
        <v>1298</v>
      </c>
      <c r="E556" s="1277"/>
      <c r="F556" s="1277"/>
      <c r="I556" s="436" t="s">
        <v>2223</v>
      </c>
    </row>
    <row r="557" spans="1:9">
      <c r="A557" s="522"/>
      <c r="B557" s="522"/>
      <c r="C557" s="522"/>
      <c r="D557" s="1277"/>
      <c r="E557" s="1277"/>
      <c r="F557" s="1277"/>
    </row>
    <row r="558" spans="1:9">
      <c r="A558" s="522"/>
      <c r="B558" s="522"/>
      <c r="C558" s="522"/>
      <c r="D558" s="481"/>
      <c r="E558" s="481"/>
      <c r="F558" s="481"/>
    </row>
    <row r="559" spans="1:9" ht="14.25">
      <c r="A559" s="519"/>
      <c r="B559" s="520" t="s">
        <v>2779</v>
      </c>
      <c r="C559" s="522"/>
      <c r="D559" s="1277" t="s">
        <v>1182</v>
      </c>
      <c r="E559" s="1277"/>
      <c r="F559" s="1277"/>
      <c r="I559" s="436" t="s">
        <v>2223</v>
      </c>
    </row>
    <row r="560" spans="1:9">
      <c r="A560" s="522"/>
      <c r="B560" s="522"/>
      <c r="C560" s="522"/>
      <c r="D560" s="1277"/>
      <c r="E560" s="1277"/>
      <c r="F560" s="1277"/>
    </row>
    <row r="561" spans="1:9">
      <c r="A561" s="522"/>
      <c r="B561" s="522"/>
      <c r="C561" s="522"/>
      <c r="D561" s="481"/>
      <c r="E561" s="481"/>
      <c r="F561" s="481"/>
    </row>
    <row r="562" spans="1:9" ht="14.25">
      <c r="A562" s="519"/>
      <c r="B562" s="520" t="s">
        <v>2779</v>
      </c>
      <c r="C562" s="522"/>
      <c r="D562" s="1306" t="s">
        <v>1183</v>
      </c>
      <c r="E562" s="1306"/>
      <c r="F562" s="1306"/>
      <c r="I562" s="436" t="s">
        <v>2226</v>
      </c>
    </row>
    <row r="563" spans="1:9">
      <c r="A563" s="525"/>
      <c r="B563" s="525"/>
      <c r="C563" s="522"/>
      <c r="D563" s="1306" t="s">
        <v>2285</v>
      </c>
      <c r="E563" s="1306"/>
      <c r="F563" s="1306"/>
    </row>
    <row r="564" spans="1:9">
      <c r="A564" s="525"/>
      <c r="B564" s="525"/>
      <c r="C564" s="522"/>
      <c r="E564" s="96" t="s">
        <v>2284</v>
      </c>
      <c r="F564" s="436"/>
    </row>
    <row r="565" spans="1:9" ht="14.25">
      <c r="A565" s="519"/>
      <c r="B565" s="519"/>
      <c r="C565" s="522"/>
      <c r="E565" s="481"/>
      <c r="F565" s="481"/>
    </row>
    <row r="566" spans="1:9" ht="14.25">
      <c r="A566" s="519"/>
      <c r="B566" s="520" t="s">
        <v>2779</v>
      </c>
      <c r="C566" s="522"/>
      <c r="D566" s="1306" t="s">
        <v>1185</v>
      </c>
      <c r="E566" s="1306"/>
      <c r="F566" s="1306"/>
      <c r="I566" s="436" t="s">
        <v>2176</v>
      </c>
    </row>
    <row r="567" spans="1:9">
      <c r="C567" s="522"/>
      <c r="D567" s="1277" t="s">
        <v>1186</v>
      </c>
      <c r="E567" s="1277"/>
      <c r="F567" s="1277"/>
    </row>
    <row r="568" spans="1:9">
      <c r="A568" s="522"/>
      <c r="B568" s="522"/>
      <c r="C568" s="522"/>
      <c r="D568" s="1277"/>
      <c r="E568" s="1277"/>
      <c r="F568" s="1277"/>
    </row>
    <row r="569" spans="1:9">
      <c r="A569" s="522"/>
      <c r="B569" s="522"/>
      <c r="C569" s="522"/>
      <c r="D569" s="1277"/>
      <c r="E569" s="1277"/>
      <c r="F569" s="1277"/>
    </row>
    <row r="570" spans="1:9">
      <c r="A570" s="522"/>
      <c r="B570" s="522"/>
      <c r="C570" s="522"/>
      <c r="D570" s="481"/>
      <c r="E570" s="481"/>
      <c r="F570" s="481"/>
    </row>
    <row r="571" spans="1:9" ht="14.25">
      <c r="A571" s="519"/>
      <c r="B571" s="520" t="s">
        <v>2779</v>
      </c>
      <c r="C571" s="522"/>
      <c r="D571" s="1277" t="s">
        <v>2457</v>
      </c>
      <c r="E571" s="1277"/>
      <c r="F571" s="1277"/>
      <c r="I571" s="436" t="s">
        <v>2177</v>
      </c>
    </row>
    <row r="572" spans="1:9" ht="14.25">
      <c r="A572" s="519"/>
      <c r="B572" s="519"/>
      <c r="C572" s="522"/>
      <c r="D572" s="1277"/>
      <c r="E572" s="1277"/>
      <c r="F572" s="1277"/>
    </row>
    <row r="573" spans="1:9" ht="14.25">
      <c r="A573" s="519"/>
      <c r="B573" s="519"/>
      <c r="C573" s="522"/>
      <c r="D573" s="1277"/>
      <c r="E573" s="1277"/>
      <c r="F573" s="1277"/>
    </row>
    <row r="574" spans="1:9" ht="14.25">
      <c r="A574" s="519"/>
      <c r="B574" s="519"/>
      <c r="C574" s="522"/>
      <c r="D574" s="1277"/>
      <c r="E574" s="1277"/>
      <c r="F574" s="1277"/>
    </row>
    <row r="575" spans="1:9" ht="14.25">
      <c r="A575" s="519"/>
      <c r="B575" s="519"/>
      <c r="C575" s="522"/>
      <c r="D575" s="481"/>
      <c r="E575" s="481"/>
      <c r="F575" s="481"/>
    </row>
    <row r="576" spans="1:9">
      <c r="A576" s="1283" t="s">
        <v>1120</v>
      </c>
      <c r="B576" s="1283"/>
      <c r="C576" s="1283"/>
      <c r="D576" s="1283"/>
      <c r="E576" s="1283"/>
      <c r="F576" s="1283"/>
      <c r="G576" s="1283"/>
      <c r="H576" s="1068"/>
      <c r="I576" s="1069"/>
    </row>
    <row r="577" spans="1:9">
      <c r="A577" s="522"/>
      <c r="B577" s="522"/>
      <c r="C577" s="522"/>
      <c r="E577" s="481"/>
      <c r="F577" s="481"/>
    </row>
    <row r="578" spans="1:9" ht="12.75" customHeight="1">
      <c r="C578" s="517"/>
      <c r="D578" s="1305" t="s">
        <v>212</v>
      </c>
      <c r="E578" s="1305"/>
      <c r="F578" s="1305"/>
    </row>
    <row r="579" spans="1:9">
      <c r="A579" s="518"/>
      <c r="B579" s="518"/>
      <c r="C579" s="518"/>
      <c r="D579" s="1299" t="s">
        <v>1136</v>
      </c>
      <c r="E579" s="1299"/>
      <c r="F579" s="1299"/>
    </row>
    <row r="580" spans="1:9">
      <c r="A580" s="434"/>
      <c r="B580" s="434"/>
      <c r="C580" s="518"/>
      <c r="D580" s="534"/>
      <c r="I580" s="436" t="s">
        <v>2178</v>
      </c>
    </row>
    <row r="581" spans="1:9">
      <c r="A581" s="518"/>
      <c r="B581" s="520" t="s">
        <v>2779</v>
      </c>
      <c r="D581" s="1299" t="s">
        <v>920</v>
      </c>
      <c r="E581" s="1299"/>
      <c r="F581" s="1299"/>
    </row>
    <row r="582" spans="1:9">
      <c r="A582" s="525"/>
      <c r="B582" s="525"/>
      <c r="D582" s="511"/>
    </row>
    <row r="583" spans="1:9">
      <c r="A583" s="525"/>
      <c r="B583" s="520" t="s">
        <v>2779</v>
      </c>
      <c r="D583" s="1299" t="s">
        <v>2458</v>
      </c>
      <c r="E583" s="1299"/>
      <c r="F583" s="1299"/>
      <c r="I583" s="436" t="s">
        <v>2180</v>
      </c>
    </row>
    <row r="584" spans="1:9">
      <c r="A584" s="525"/>
      <c r="B584" s="525"/>
      <c r="D584" s="1299"/>
      <c r="E584" s="1299"/>
      <c r="F584" s="1299"/>
      <c r="I584" s="436" t="s">
        <v>2179</v>
      </c>
    </row>
    <row r="585" spans="1:9">
      <c r="A585" s="525"/>
      <c r="B585" s="525"/>
      <c r="D585" s="1299"/>
      <c r="E585" s="1299"/>
      <c r="F585" s="1299"/>
    </row>
    <row r="586" spans="1:9">
      <c r="A586" s="525"/>
      <c r="B586" s="525"/>
      <c r="D586" s="1299"/>
      <c r="E586" s="1299"/>
      <c r="F586" s="1299"/>
    </row>
    <row r="587" spans="1:9">
      <c r="A587" s="525"/>
      <c r="B587" s="520" t="s">
        <v>2780</v>
      </c>
      <c r="D587" s="1299" t="s">
        <v>1138</v>
      </c>
      <c r="E587" s="1299"/>
      <c r="F587" s="1299"/>
    </row>
    <row r="588" spans="1:9">
      <c r="A588" s="525"/>
      <c r="B588" s="525"/>
      <c r="D588" s="1299"/>
      <c r="E588" s="1299"/>
      <c r="F588" s="1299"/>
    </row>
    <row r="589" spans="1:9">
      <c r="A589" s="525"/>
      <c r="B589" s="525"/>
      <c r="D589" s="1299"/>
      <c r="E589" s="1299"/>
      <c r="F589" s="1299"/>
    </row>
    <row r="590" spans="1:9">
      <c r="A590" s="525"/>
      <c r="B590" s="525"/>
      <c r="D590" s="1299"/>
      <c r="E590" s="1299"/>
      <c r="F590" s="1299"/>
    </row>
    <row r="591" spans="1:9">
      <c r="A591" s="525"/>
      <c r="B591" s="525"/>
      <c r="D591" s="474"/>
      <c r="E591" s="474"/>
      <c r="F591" s="474"/>
    </row>
    <row r="592" spans="1:9">
      <c r="A592" s="525"/>
      <c r="B592" s="520" t="s">
        <v>2779</v>
      </c>
      <c r="D592" s="1299" t="s">
        <v>2459</v>
      </c>
      <c r="E592" s="1299"/>
      <c r="F592" s="1299"/>
    </row>
    <row r="593" spans="1:9">
      <c r="A593" s="525"/>
      <c r="B593" s="525"/>
      <c r="D593" s="1299"/>
      <c r="E593" s="1299"/>
      <c r="F593" s="1299"/>
    </row>
    <row r="594" spans="1:9">
      <c r="A594" s="525"/>
      <c r="B594" s="525"/>
      <c r="D594" s="534"/>
    </row>
    <row r="595" spans="1:9">
      <c r="A595" s="525"/>
      <c r="B595" s="520" t="s">
        <v>2779</v>
      </c>
      <c r="D595" s="1299" t="s">
        <v>1140</v>
      </c>
      <c r="E595" s="1299"/>
      <c r="F595" s="1299"/>
      <c r="I595" s="436" t="s">
        <v>2227</v>
      </c>
    </row>
    <row r="596" spans="1:9">
      <c r="A596" s="525"/>
      <c r="B596" s="525"/>
      <c r="D596" s="1299"/>
      <c r="E596" s="1299"/>
      <c r="F596" s="1299"/>
    </row>
    <row r="597" spans="1:9" ht="14.25">
      <c r="A597" s="519"/>
      <c r="B597" s="519"/>
      <c r="D597" s="534"/>
    </row>
    <row r="598" spans="1:9">
      <c r="A598" s="1283" t="s">
        <v>1121</v>
      </c>
      <c r="B598" s="1283"/>
      <c r="C598" s="1283"/>
      <c r="D598" s="1283"/>
      <c r="E598" s="1283"/>
      <c r="F598" s="1283"/>
      <c r="G598" s="1283"/>
      <c r="H598" s="1068"/>
      <c r="I598" s="1069"/>
    </row>
    <row r="599" spans="1:9"/>
    <row r="600" spans="1:9">
      <c r="D600" s="1275" t="s">
        <v>1221</v>
      </c>
      <c r="E600" s="1275"/>
      <c r="F600" s="1275"/>
    </row>
    <row r="601" spans="1:9">
      <c r="D601" s="1276" t="s">
        <v>1222</v>
      </c>
      <c r="E601" s="1276"/>
      <c r="F601" s="1276"/>
    </row>
    <row r="602" spans="1:9">
      <c r="D602" s="479"/>
    </row>
    <row r="603" spans="1:9" ht="14.25" customHeight="1">
      <c r="A603" s="519"/>
      <c r="B603" s="520" t="s">
        <v>2779</v>
      </c>
      <c r="D603" s="1339" t="s">
        <v>2286</v>
      </c>
      <c r="E603" s="1339"/>
      <c r="F603" s="1339"/>
      <c r="I603" s="436" t="s">
        <v>2208</v>
      </c>
    </row>
    <row r="604" spans="1:9">
      <c r="D604" s="1339"/>
      <c r="E604" s="1339"/>
      <c r="F604" s="1339"/>
    </row>
    <row r="605" spans="1:9">
      <c r="D605" s="417"/>
      <c r="E605" s="1077" t="s">
        <v>2287</v>
      </c>
      <c r="F605" s="417"/>
    </row>
    <row r="606" spans="1:9"/>
    <row r="607" spans="1:9">
      <c r="A607" s="1283" t="s">
        <v>1122</v>
      </c>
      <c r="B607" s="1283"/>
      <c r="C607" s="1283"/>
      <c r="D607" s="1283"/>
      <c r="E607" s="1283"/>
      <c r="F607" s="1283"/>
      <c r="G607" s="1283"/>
      <c r="H607" s="1068"/>
      <c r="I607" s="1069"/>
    </row>
    <row r="608" spans="1:9">
      <c r="A608" s="481"/>
      <c r="B608" s="481"/>
    </row>
    <row r="609" spans="1:9">
      <c r="A609" s="517"/>
      <c r="B609" s="517"/>
      <c r="C609" s="517"/>
      <c r="D609" s="1278" t="s">
        <v>1224</v>
      </c>
      <c r="E609" s="1278"/>
      <c r="F609" s="1278"/>
    </row>
    <row r="610" spans="1:9">
      <c r="A610" s="517"/>
      <c r="B610" s="517"/>
      <c r="C610" s="517"/>
      <c r="D610" s="1278"/>
      <c r="E610" s="1278"/>
      <c r="F610" s="1278"/>
    </row>
    <row r="611" spans="1:9">
      <c r="C611" s="518"/>
      <c r="D611" s="1276" t="s">
        <v>1225</v>
      </c>
      <c r="E611" s="1276"/>
      <c r="F611" s="1276"/>
    </row>
    <row r="612" spans="1:9">
      <c r="C612" s="518"/>
      <c r="D612" s="479"/>
      <c r="E612" s="479"/>
      <c r="F612" s="479"/>
    </row>
    <row r="613" spans="1:9" ht="12.75" customHeight="1">
      <c r="A613" s="525"/>
      <c r="B613" s="520" t="s">
        <v>2779</v>
      </c>
      <c r="D613" s="1279" t="s">
        <v>1226</v>
      </c>
      <c r="E613" s="1279"/>
      <c r="F613" s="1279"/>
      <c r="I613" s="436" t="s">
        <v>2228</v>
      </c>
    </row>
    <row r="614" spans="1:9">
      <c r="D614" s="1279"/>
      <c r="E614" s="1279"/>
      <c r="F614" s="1279"/>
    </row>
    <row r="615" spans="1:9"/>
    <row r="616" spans="1:9">
      <c r="B616" s="520" t="s">
        <v>2779</v>
      </c>
      <c r="D616" s="1279" t="s">
        <v>1227</v>
      </c>
      <c r="E616" s="1279"/>
      <c r="F616" s="1279"/>
      <c r="I616" s="436" t="s">
        <v>2181</v>
      </c>
    </row>
    <row r="617" spans="1:9">
      <c r="C617" s="535"/>
      <c r="D617" s="1279"/>
      <c r="E617" s="1279"/>
      <c r="F617" s="1279"/>
    </row>
    <row r="618" spans="1:9">
      <c r="C618" s="535"/>
    </row>
    <row r="619" spans="1:9">
      <c r="B619" s="520" t="s">
        <v>2779</v>
      </c>
      <c r="C619" s="535"/>
      <c r="D619" s="1279" t="s">
        <v>1228</v>
      </c>
      <c r="E619" s="1279"/>
      <c r="F619" s="1279"/>
      <c r="I619" s="436" t="s">
        <v>2229</v>
      </c>
    </row>
    <row r="620" spans="1:9">
      <c r="C620" s="535"/>
      <c r="D620" s="1279"/>
      <c r="E620" s="1279"/>
      <c r="F620" s="1279"/>
      <c r="I620" s="1065" t="s">
        <v>2230</v>
      </c>
    </row>
    <row r="621" spans="1:9">
      <c r="C621" s="535"/>
    </row>
    <row r="622" spans="1:9">
      <c r="A622" s="1283" t="s">
        <v>1123</v>
      </c>
      <c r="B622" s="1283"/>
      <c r="C622" s="1283"/>
      <c r="D622" s="1283"/>
      <c r="E622" s="1283"/>
      <c r="F622" s="1283"/>
      <c r="G622" s="1283"/>
      <c r="H622" s="1068"/>
      <c r="I622" s="1069"/>
    </row>
    <row r="623" spans="1:9">
      <c r="A623" s="517"/>
      <c r="B623" s="517"/>
      <c r="C623" s="517"/>
    </row>
    <row r="624" spans="1:9">
      <c r="C624" s="525"/>
      <c r="D624" s="1275" t="s">
        <v>1229</v>
      </c>
      <c r="E624" s="1275"/>
      <c r="F624" s="1275"/>
    </row>
    <row r="625" spans="1:9">
      <c r="A625" s="525"/>
      <c r="B625" s="525"/>
      <c r="D625" s="436"/>
    </row>
    <row r="626" spans="1:9" ht="14.25" customHeight="1">
      <c r="A626" s="519"/>
      <c r="B626" s="520" t="s">
        <v>2779</v>
      </c>
      <c r="D626" s="1339" t="s">
        <v>2460</v>
      </c>
      <c r="E626" s="1339"/>
      <c r="F626" s="1339"/>
      <c r="I626" s="436" t="s">
        <v>2209</v>
      </c>
    </row>
    <row r="627" spans="1:9">
      <c r="D627" s="1339"/>
      <c r="E627" s="1339"/>
      <c r="F627" s="1339"/>
    </row>
    <row r="628" spans="1:9">
      <c r="D628" s="417"/>
      <c r="E628" s="1077" t="s">
        <v>2289</v>
      </c>
      <c r="F628" s="417"/>
    </row>
    <row r="629" spans="1:9">
      <c r="D629" s="1277" t="s">
        <v>2288</v>
      </c>
      <c r="E629" s="1277"/>
      <c r="F629" s="1277"/>
    </row>
    <row r="630" spans="1:9">
      <c r="D630" s="1277"/>
      <c r="E630" s="1277"/>
      <c r="F630" s="1277"/>
    </row>
    <row r="631" spans="1:9">
      <c r="D631" s="1277"/>
      <c r="E631" s="1277"/>
      <c r="F631" s="1277"/>
    </row>
    <row r="632" spans="1:9">
      <c r="D632" s="480"/>
      <c r="E632" s="480"/>
      <c r="F632" s="480"/>
    </row>
    <row r="633" spans="1:9" ht="14.25">
      <c r="A633" s="519"/>
      <c r="B633" s="520" t="s">
        <v>2780</v>
      </c>
      <c r="D633" s="1277" t="s">
        <v>1231</v>
      </c>
      <c r="E633" s="1277"/>
      <c r="F633" s="1277"/>
      <c r="I633" s="436" t="s">
        <v>2231</v>
      </c>
    </row>
    <row r="634" spans="1:9">
      <c r="A634" s="522"/>
      <c r="B634" s="522"/>
      <c r="C634" s="522"/>
      <c r="D634" s="1277"/>
      <c r="E634" s="1277"/>
      <c r="F634" s="1277"/>
    </row>
    <row r="635" spans="1:9">
      <c r="A635" s="522"/>
      <c r="B635" s="522"/>
      <c r="C635" s="522"/>
      <c r="D635" s="481"/>
      <c r="E635" s="481"/>
      <c r="F635" s="481"/>
    </row>
    <row r="636" spans="1:9" ht="14.25">
      <c r="A636" s="519"/>
      <c r="B636" s="520" t="s">
        <v>2780</v>
      </c>
      <c r="C636" s="522"/>
      <c r="D636" s="1277" t="s">
        <v>1373</v>
      </c>
      <c r="E636" s="1277"/>
      <c r="F636" s="1277"/>
      <c r="I636" s="436" t="s">
        <v>2182</v>
      </c>
    </row>
    <row r="637" spans="1:9" ht="14.25">
      <c r="A637" s="519"/>
      <c r="B637" s="519"/>
      <c r="C637" s="522"/>
      <c r="D637" s="1277"/>
      <c r="E637" s="1277"/>
      <c r="F637" s="1277"/>
    </row>
    <row r="638" spans="1:9" ht="14.25">
      <c r="A638" s="519"/>
      <c r="B638" s="519"/>
      <c r="C638" s="522"/>
      <c r="D638" s="1277"/>
      <c r="E638" s="1277"/>
      <c r="F638" s="1277"/>
    </row>
    <row r="639" spans="1:9">
      <c r="A639" s="522"/>
      <c r="B639" s="520" t="s">
        <v>2780</v>
      </c>
      <c r="C639" s="522"/>
      <c r="D639" s="1306" t="s">
        <v>1233</v>
      </c>
      <c r="E639" s="1306"/>
      <c r="F639" s="1306"/>
      <c r="I639" s="436" t="s">
        <v>2182</v>
      </c>
    </row>
    <row r="640" spans="1:9">
      <c r="A640" s="522"/>
      <c r="B640" s="522"/>
      <c r="C640" s="522"/>
      <c r="D640" s="481"/>
      <c r="E640" s="481"/>
      <c r="F640" s="481"/>
    </row>
    <row r="641" spans="1:9">
      <c r="A641" s="1283" t="s">
        <v>1124</v>
      </c>
      <c r="B641" s="1283"/>
      <c r="C641" s="1283"/>
      <c r="D641" s="1283"/>
      <c r="E641" s="1283"/>
      <c r="F641" s="1283"/>
      <c r="G641" s="1283"/>
      <c r="H641" s="1068"/>
      <c r="I641" s="1069"/>
    </row>
    <row r="642" spans="1:9">
      <c r="A642" s="481"/>
      <c r="B642" s="481"/>
      <c r="C642" s="522"/>
      <c r="D642" s="481"/>
      <c r="E642" s="481"/>
      <c r="F642" s="481"/>
    </row>
    <row r="643" spans="1:9">
      <c r="C643" s="517"/>
      <c r="D643" s="1275" t="s">
        <v>1283</v>
      </c>
      <c r="E643" s="1275"/>
      <c r="F643" s="1275"/>
    </row>
    <row r="644" spans="1:9">
      <c r="A644" s="518"/>
      <c r="B644" s="518"/>
      <c r="C644" s="518"/>
      <c r="D644" s="1306" t="s">
        <v>1284</v>
      </c>
      <c r="E644" s="1306"/>
      <c r="F644" s="1306"/>
    </row>
    <row r="645" spans="1:9">
      <c r="A645" s="518"/>
      <c r="B645" s="518"/>
      <c r="C645" s="518"/>
      <c r="D645" s="481"/>
      <c r="E645" s="481"/>
      <c r="F645" s="481"/>
    </row>
    <row r="646" spans="1:9" ht="12.75" customHeight="1">
      <c r="B646" s="520" t="s">
        <v>2780</v>
      </c>
      <c r="C646" s="522"/>
      <c r="D646" s="1277" t="s">
        <v>1447</v>
      </c>
      <c r="E646" s="1277"/>
      <c r="F646" s="1277"/>
      <c r="I646" s="436" t="s">
        <v>2234</v>
      </c>
    </row>
    <row r="647" spans="1:9">
      <c r="D647" s="1277"/>
      <c r="E647" s="1277"/>
      <c r="F647" s="1277"/>
    </row>
    <row r="648" spans="1:9">
      <c r="D648" s="1277"/>
      <c r="E648" s="1277"/>
      <c r="F648" s="1277"/>
    </row>
    <row r="649" spans="1:9">
      <c r="D649" s="1277"/>
      <c r="E649" s="1277"/>
      <c r="F649" s="1277"/>
    </row>
    <row r="650" spans="1:9" ht="14.45" customHeight="1">
      <c r="A650" s="519"/>
      <c r="B650" s="519"/>
      <c r="C650" s="522"/>
      <c r="D650" s="417"/>
      <c r="E650" s="417"/>
      <c r="F650" s="417"/>
    </row>
    <row r="651" spans="1:9" ht="12.75" customHeight="1">
      <c r="A651" s="518"/>
      <c r="B651" s="520" t="s">
        <v>2780</v>
      </c>
      <c r="C651" s="522"/>
      <c r="D651" s="1277" t="s">
        <v>1449</v>
      </c>
      <c r="E651" s="1277"/>
      <c r="F651" s="1277"/>
      <c r="I651" s="436" t="s">
        <v>2234</v>
      </c>
    </row>
    <row r="652" spans="1:9" ht="14.25">
      <c r="A652" s="518"/>
      <c r="B652" s="519"/>
      <c r="C652" s="522"/>
      <c r="D652" s="1277"/>
      <c r="E652" s="1277"/>
      <c r="F652" s="1277"/>
    </row>
    <row r="653" spans="1:9" ht="14.25">
      <c r="A653" s="518"/>
      <c r="B653" s="519"/>
      <c r="C653" s="522"/>
      <c r="D653" s="1277"/>
      <c r="E653" s="1277"/>
      <c r="F653" s="1277"/>
    </row>
    <row r="654" spans="1:9" ht="14.25">
      <c r="A654" s="518"/>
      <c r="B654" s="519"/>
      <c r="C654" s="522"/>
      <c r="D654" s="1277"/>
      <c r="E654" s="1277"/>
      <c r="F654" s="1277"/>
    </row>
    <row r="655" spans="1:9" ht="14.25">
      <c r="A655" s="518"/>
      <c r="B655" s="519"/>
      <c r="C655" s="522"/>
      <c r="D655" s="1277"/>
      <c r="E655" s="1277"/>
      <c r="F655" s="1277"/>
    </row>
    <row r="656" spans="1:9" ht="14.25" customHeight="1">
      <c r="A656" s="518"/>
      <c r="B656" s="519"/>
      <c r="C656" s="522"/>
      <c r="F656" s="418"/>
    </row>
    <row r="657" spans="1:11" ht="12.75" customHeight="1">
      <c r="A657" s="518"/>
      <c r="B657" s="520" t="s">
        <v>2780</v>
      </c>
      <c r="C657" s="522"/>
      <c r="D657" s="1277" t="s">
        <v>1448</v>
      </c>
      <c r="E657" s="1277"/>
      <c r="F657" s="1277"/>
      <c r="I657" s="436" t="s">
        <v>2234</v>
      </c>
    </row>
    <row r="658" spans="1:11" ht="14.25">
      <c r="A658" s="518"/>
      <c r="B658" s="519"/>
      <c r="C658" s="522"/>
      <c r="D658" s="1277"/>
      <c r="E658" s="1277"/>
      <c r="F658" s="1277"/>
    </row>
    <row r="659" spans="1:11" ht="14.25">
      <c r="A659" s="519"/>
      <c r="B659" s="519"/>
      <c r="C659" s="522"/>
      <c r="D659" s="1277"/>
      <c r="E659" s="1277"/>
      <c r="F659" s="1277"/>
    </row>
    <row r="660" spans="1:11" ht="14.25">
      <c r="A660" s="519"/>
      <c r="B660" s="519"/>
      <c r="C660" s="522"/>
      <c r="D660" s="1277"/>
      <c r="E660" s="1277"/>
      <c r="F660" s="1277"/>
    </row>
    <row r="661" spans="1:11" ht="14.25">
      <c r="A661" s="519"/>
      <c r="B661" s="519"/>
      <c r="C661" s="522"/>
      <c r="D661" s="480"/>
      <c r="E661" s="480"/>
      <c r="F661" s="480"/>
    </row>
    <row r="662" spans="1:11" ht="12.75" customHeight="1">
      <c r="A662" s="518"/>
      <c r="B662" s="520" t="s">
        <v>2780</v>
      </c>
      <c r="C662" s="522"/>
      <c r="D662" s="1277" t="s">
        <v>2461</v>
      </c>
      <c r="E662" s="1277"/>
      <c r="F662" s="1277"/>
      <c r="I662" s="436" t="s">
        <v>2234</v>
      </c>
    </row>
    <row r="663" spans="1:11" ht="12.75" customHeight="1">
      <c r="A663" s="518"/>
      <c r="B663" s="519"/>
      <c r="C663" s="522"/>
      <c r="D663" s="1277"/>
      <c r="E663" s="1277"/>
      <c r="F663" s="1277"/>
    </row>
    <row r="664" spans="1:11" ht="12.75" customHeight="1">
      <c r="A664" s="518"/>
      <c r="B664" s="519"/>
      <c r="C664" s="522"/>
      <c r="D664" s="1277"/>
      <c r="E664" s="1277"/>
      <c r="F664" s="1277"/>
    </row>
    <row r="665" spans="1:11" ht="12.75" customHeight="1">
      <c r="A665" s="518"/>
      <c r="B665" s="519"/>
      <c r="C665" s="522"/>
      <c r="D665" s="1277"/>
      <c r="E665" s="1277"/>
      <c r="F665" s="1277"/>
    </row>
    <row r="666" spans="1:11" ht="12.75" customHeight="1">
      <c r="A666" s="518"/>
      <c r="B666" s="519"/>
      <c r="C666" s="522"/>
      <c r="D666" s="1277"/>
      <c r="E666" s="1277"/>
      <c r="F666" s="1277"/>
    </row>
    <row r="667" spans="1:11" ht="12.75" customHeight="1">
      <c r="A667" s="518"/>
      <c r="B667" s="519"/>
      <c r="C667" s="522"/>
      <c r="D667" s="1277"/>
      <c r="E667" s="1277"/>
      <c r="F667" s="1277"/>
    </row>
    <row r="668" spans="1:11" ht="12.75" customHeight="1">
      <c r="A668" s="518"/>
      <c r="B668" s="519"/>
      <c r="C668" s="522"/>
      <c r="D668" s="1277"/>
      <c r="E668" s="1277"/>
      <c r="F668" s="1277"/>
    </row>
    <row r="669" spans="1:11" ht="12.75" customHeight="1">
      <c r="A669" s="518"/>
      <c r="B669" s="519"/>
      <c r="C669" s="522"/>
      <c r="D669" s="1277"/>
      <c r="E669" s="1277"/>
      <c r="F669" s="1277"/>
    </row>
    <row r="670" spans="1:11" ht="12.75" customHeight="1">
      <c r="A670" s="518"/>
      <c r="B670" s="519"/>
      <c r="C670" s="522"/>
      <c r="D670" s="1277"/>
      <c r="E670" s="1277"/>
      <c r="F670" s="1277"/>
    </row>
    <row r="671" spans="1:11">
      <c r="A671" s="522"/>
      <c r="B671" s="522"/>
      <c r="C671" s="522"/>
      <c r="D671" s="481"/>
      <c r="E671" s="481"/>
      <c r="F671" s="481"/>
    </row>
    <row r="672" spans="1:11">
      <c r="A672" s="1283" t="s">
        <v>1125</v>
      </c>
      <c r="B672" s="1283"/>
      <c r="C672" s="1283"/>
      <c r="D672" s="1283"/>
      <c r="E672" s="1283"/>
      <c r="F672" s="1283"/>
      <c r="G672" s="1283"/>
      <c r="H672" s="1070"/>
      <c r="I672" s="1071"/>
      <c r="J672" s="536"/>
      <c r="K672" s="536"/>
    </row>
    <row r="673" spans="1:11">
      <c r="A673" s="483"/>
      <c r="B673" s="483"/>
      <c r="C673" s="483"/>
      <c r="D673" s="483"/>
      <c r="E673" s="483"/>
      <c r="F673" s="483"/>
      <c r="G673" s="483"/>
      <c r="H673" s="536"/>
      <c r="I673" s="1062"/>
      <c r="J673" s="536"/>
      <c r="K673" s="536"/>
    </row>
    <row r="674" spans="1:11">
      <c r="C674" s="517"/>
      <c r="D674" s="1275" t="s">
        <v>100</v>
      </c>
      <c r="E674" s="1275"/>
      <c r="F674" s="1275"/>
      <c r="H674" s="536"/>
      <c r="I674" s="1062"/>
      <c r="J674" s="536"/>
      <c r="K674" s="536"/>
    </row>
    <row r="675" spans="1:11">
      <c r="A675" s="517"/>
      <c r="B675" s="517"/>
      <c r="C675" s="517"/>
      <c r="D675" s="1275" t="s">
        <v>124</v>
      </c>
      <c r="E675" s="1275"/>
      <c r="F675" s="1275"/>
      <c r="H675" s="536"/>
      <c r="I675" s="1062"/>
      <c r="J675" s="536"/>
      <c r="K675" s="536"/>
    </row>
    <row r="676" spans="1:11">
      <c r="A676" s="518"/>
      <c r="B676" s="518"/>
      <c r="C676" s="518"/>
      <c r="D676" s="1306" t="s">
        <v>1161</v>
      </c>
      <c r="E676" s="1306"/>
      <c r="F676" s="1306"/>
      <c r="H676" s="536"/>
      <c r="I676" s="1062"/>
      <c r="J676" s="536"/>
      <c r="K676" s="536"/>
    </row>
    <row r="677" spans="1:11">
      <c r="A677" s="518"/>
      <c r="B677" s="518"/>
      <c r="C677" s="518"/>
      <c r="H677" s="536"/>
      <c r="I677" s="1062"/>
      <c r="J677" s="536"/>
      <c r="K677" s="536"/>
    </row>
    <row r="678" spans="1:11" ht="14.25">
      <c r="A678" s="519"/>
      <c r="B678" s="520" t="s">
        <v>2779</v>
      </c>
      <c r="C678" s="518"/>
      <c r="D678" s="1306" t="s">
        <v>916</v>
      </c>
      <c r="E678" s="1306"/>
      <c r="F678" s="1306"/>
      <c r="H678" s="536"/>
      <c r="I678" s="1062" t="s">
        <v>2210</v>
      </c>
      <c r="J678" s="536"/>
      <c r="K678" s="536"/>
    </row>
    <row r="679" spans="1:11">
      <c r="A679" s="518"/>
      <c r="B679" s="518"/>
      <c r="C679" s="518"/>
      <c r="D679" s="1306" t="s">
        <v>927</v>
      </c>
      <c r="E679" s="1306"/>
      <c r="F679" s="1306"/>
      <c r="H679" s="536"/>
      <c r="I679" s="1062"/>
      <c r="J679" s="536"/>
      <c r="K679" s="536"/>
    </row>
    <row r="680" spans="1:11" ht="12.75" customHeight="1">
      <c r="A680" s="518"/>
      <c r="B680" s="518"/>
      <c r="C680" s="518"/>
      <c r="E680" s="1077" t="s">
        <v>2291</v>
      </c>
      <c r="F680" s="452"/>
      <c r="H680" s="536"/>
      <c r="I680" s="1062"/>
      <c r="J680" s="536"/>
      <c r="K680" s="536"/>
    </row>
    <row r="681" spans="1:11">
      <c r="A681" s="518"/>
      <c r="B681" s="518"/>
      <c r="C681" s="518"/>
      <c r="E681" s="536" t="s">
        <v>2290</v>
      </c>
      <c r="F681" s="452"/>
      <c r="I681" s="1062"/>
      <c r="J681" s="536"/>
      <c r="K681" s="536"/>
    </row>
    <row r="682" spans="1:11">
      <c r="A682" s="518"/>
      <c r="B682" s="518"/>
      <c r="C682" s="518"/>
      <c r="D682" s="537"/>
      <c r="E682" s="481"/>
      <c r="H682" s="536"/>
      <c r="I682" s="1062"/>
      <c r="J682" s="536"/>
      <c r="K682" s="536"/>
    </row>
    <row r="683" spans="1:11" ht="14.25">
      <c r="A683" s="519"/>
      <c r="B683" s="520" t="s">
        <v>2779</v>
      </c>
      <c r="C683" s="518"/>
      <c r="D683" s="1277" t="s">
        <v>2462</v>
      </c>
      <c r="E683" s="1277"/>
      <c r="F683" s="1277"/>
      <c r="H683" s="536"/>
      <c r="I683" s="1062" t="s">
        <v>2232</v>
      </c>
      <c r="J683" s="536"/>
      <c r="K683" s="536"/>
    </row>
    <row r="684" spans="1:11">
      <c r="A684" s="525"/>
      <c r="B684" s="525"/>
      <c r="C684" s="518"/>
      <c r="D684" s="1277"/>
      <c r="E684" s="1277"/>
      <c r="F684" s="1277"/>
      <c r="H684" s="536"/>
      <c r="I684" s="1062"/>
      <c r="J684" s="536"/>
      <c r="K684" s="536"/>
    </row>
    <row r="685" spans="1:11">
      <c r="A685" s="518"/>
      <c r="B685" s="518"/>
      <c r="C685" s="518"/>
      <c r="D685" s="1277"/>
      <c r="E685" s="1277"/>
      <c r="F685" s="1277"/>
      <c r="H685" s="536"/>
      <c r="I685" s="1062"/>
      <c r="J685" s="536"/>
      <c r="K685" s="536"/>
    </row>
    <row r="686" spans="1:11">
      <c r="A686" s="518"/>
      <c r="B686" s="518"/>
      <c r="C686" s="518"/>
      <c r="H686" s="536"/>
      <c r="I686" s="1062" t="s">
        <v>2211</v>
      </c>
      <c r="J686" s="536"/>
      <c r="K686" s="536"/>
    </row>
    <row r="687" spans="1:11" ht="14.25">
      <c r="A687" s="519"/>
      <c r="B687" s="520" t="s">
        <v>2780</v>
      </c>
      <c r="C687" s="518"/>
      <c r="D687" s="1306" t="s">
        <v>955</v>
      </c>
      <c r="E687" s="1306"/>
      <c r="F687" s="1306"/>
      <c r="H687" s="536"/>
      <c r="I687" s="1062"/>
      <c r="J687" s="536"/>
      <c r="K687" s="536"/>
    </row>
    <row r="688" spans="1:11" ht="14.25">
      <c r="A688" s="519"/>
      <c r="B688" s="519"/>
      <c r="C688" s="518"/>
      <c r="D688" s="1306" t="s">
        <v>927</v>
      </c>
      <c r="E688" s="1306"/>
      <c r="F688" s="1306"/>
      <c r="H688" s="536"/>
      <c r="I688" s="1062"/>
      <c r="J688" s="536"/>
      <c r="K688" s="536"/>
    </row>
    <row r="689" spans="1:11">
      <c r="A689" s="518"/>
      <c r="B689" s="518"/>
      <c r="C689" s="518"/>
      <c r="E689" s="1077" t="s">
        <v>2292</v>
      </c>
      <c r="F689" s="436"/>
      <c r="H689" s="536"/>
      <c r="I689" s="1062"/>
      <c r="J689" s="536"/>
      <c r="K689" s="536"/>
    </row>
    <row r="690" spans="1:11">
      <c r="A690" s="518"/>
      <c r="B690" s="518"/>
      <c r="C690" s="518"/>
      <c r="D690" s="436"/>
      <c r="H690" s="536"/>
      <c r="I690" s="1062"/>
      <c r="J690" s="536"/>
      <c r="K690" s="536"/>
    </row>
    <row r="691" spans="1:11" ht="14.25">
      <c r="A691" s="519"/>
      <c r="B691" s="520" t="s">
        <v>2780</v>
      </c>
      <c r="C691" s="518"/>
      <c r="D691" s="1277" t="s">
        <v>1174</v>
      </c>
      <c r="E691" s="1277"/>
      <c r="F691" s="1277"/>
      <c r="H691" s="536"/>
      <c r="I691" s="1062" t="s">
        <v>2183</v>
      </c>
      <c r="J691" s="536"/>
      <c r="K691" s="536"/>
    </row>
    <row r="692" spans="1:11">
      <c r="A692" s="518"/>
      <c r="B692" s="518"/>
      <c r="C692" s="518"/>
      <c r="D692" s="1277"/>
      <c r="E692" s="1277"/>
      <c r="F692" s="1277"/>
      <c r="H692" s="536"/>
      <c r="I692" s="1062"/>
      <c r="J692" s="536"/>
      <c r="K692" s="536"/>
    </row>
    <row r="693" spans="1:11">
      <c r="A693" s="518"/>
      <c r="B693" s="518"/>
      <c r="C693" s="518"/>
      <c r="D693" s="1277"/>
      <c r="E693" s="1277"/>
      <c r="F693" s="1277"/>
      <c r="H693" s="536"/>
      <c r="I693" s="1062"/>
      <c r="J693" s="536"/>
      <c r="K693" s="536"/>
    </row>
    <row r="694" spans="1:11">
      <c r="A694" s="518"/>
      <c r="B694" s="518"/>
      <c r="C694" s="518"/>
      <c r="D694" s="1277"/>
      <c r="E694" s="1277"/>
      <c r="F694" s="1277"/>
      <c r="H694" s="536"/>
      <c r="I694" s="1062"/>
      <c r="J694" s="536"/>
      <c r="K694" s="536"/>
    </row>
    <row r="695" spans="1:11">
      <c r="A695" s="518"/>
      <c r="B695" s="518"/>
      <c r="C695" s="518"/>
      <c r="D695" s="1277"/>
      <c r="E695" s="1277"/>
      <c r="F695" s="1277"/>
      <c r="H695" s="536"/>
      <c r="I695" s="1062"/>
      <c r="J695" s="536"/>
      <c r="K695" s="536"/>
    </row>
    <row r="696" spans="1:11">
      <c r="A696" s="518"/>
      <c r="B696" s="518"/>
      <c r="C696" s="518"/>
      <c r="D696" s="1277"/>
      <c r="E696" s="1277"/>
      <c r="F696" s="1277"/>
      <c r="H696" s="536"/>
      <c r="I696" s="1062"/>
      <c r="J696" s="536"/>
      <c r="K696" s="536"/>
    </row>
    <row r="697" spans="1:11">
      <c r="A697" s="518"/>
      <c r="B697" s="518"/>
      <c r="C697" s="518"/>
      <c r="D697" s="480"/>
      <c r="E697" s="480"/>
      <c r="F697" s="480"/>
      <c r="H697" s="536"/>
      <c r="I697" s="1062"/>
      <c r="J697" s="536"/>
      <c r="K697" s="536"/>
    </row>
    <row r="698" spans="1:11">
      <c r="A698" s="518"/>
      <c r="B698" s="520" t="s">
        <v>2780</v>
      </c>
      <c r="C698" s="518"/>
      <c r="D698" s="1277" t="s">
        <v>1345</v>
      </c>
      <c r="E698" s="1277"/>
      <c r="F698" s="1277"/>
      <c r="H698" s="536"/>
      <c r="I698" s="1062" t="s">
        <v>2183</v>
      </c>
      <c r="J698" s="536"/>
      <c r="K698" s="536"/>
    </row>
    <row r="699" spans="1:11">
      <c r="A699" s="518"/>
      <c r="B699" s="518"/>
      <c r="C699" s="518"/>
      <c r="D699" s="1277"/>
      <c r="E699" s="1277"/>
      <c r="F699" s="1277"/>
      <c r="H699" s="536"/>
      <c r="I699" s="1062"/>
      <c r="J699" s="536"/>
      <c r="K699" s="536"/>
    </row>
    <row r="700" spans="1:11">
      <c r="A700" s="518"/>
      <c r="B700" s="518"/>
      <c r="C700" s="518"/>
      <c r="D700" s="480"/>
      <c r="E700" s="480"/>
      <c r="F700" s="480"/>
      <c r="H700" s="536"/>
      <c r="I700" s="1062"/>
      <c r="J700" s="536"/>
      <c r="K700" s="536"/>
    </row>
    <row r="701" spans="1:11" ht="14.25">
      <c r="A701" s="519"/>
      <c r="B701" s="520" t="s">
        <v>2780</v>
      </c>
      <c r="C701" s="518"/>
      <c r="D701" s="1277" t="s">
        <v>1165</v>
      </c>
      <c r="E701" s="1277"/>
      <c r="F701" s="1277"/>
      <c r="H701" s="536"/>
      <c r="I701" s="1062" t="s">
        <v>2183</v>
      </c>
      <c r="J701" s="536"/>
      <c r="K701" s="536"/>
    </row>
    <row r="702" spans="1:11">
      <c r="A702" s="518"/>
      <c r="B702" s="518"/>
      <c r="C702" s="518"/>
      <c r="D702" s="1277"/>
      <c r="E702" s="1277"/>
      <c r="F702" s="1277"/>
      <c r="H702" s="536"/>
      <c r="I702" s="1062"/>
      <c r="J702" s="536"/>
      <c r="K702" s="536"/>
    </row>
    <row r="703" spans="1:11">
      <c r="A703" s="518"/>
      <c r="B703" s="518"/>
      <c r="C703" s="518"/>
      <c r="D703" s="1277"/>
      <c r="E703" s="1277"/>
      <c r="F703" s="1277"/>
      <c r="H703" s="536"/>
      <c r="I703" s="1062"/>
      <c r="J703" s="536"/>
      <c r="K703" s="536"/>
    </row>
    <row r="704" spans="1:11" ht="15" customHeight="1">
      <c r="A704" s="518"/>
      <c r="B704" s="518"/>
      <c r="C704" s="518"/>
      <c r="D704" s="1277"/>
      <c r="E704" s="1277"/>
      <c r="F704" s="1277"/>
      <c r="H704" s="536"/>
      <c r="I704" s="1062"/>
      <c r="J704" s="536"/>
      <c r="K704" s="536"/>
    </row>
    <row r="705" spans="1:11" ht="15" customHeight="1">
      <c r="A705" s="518"/>
      <c r="B705" s="518"/>
      <c r="C705" s="518"/>
      <c r="D705" s="1277"/>
      <c r="E705" s="1277"/>
      <c r="F705" s="1277"/>
      <c r="H705" s="536"/>
      <c r="I705" s="1062"/>
      <c r="J705" s="536"/>
      <c r="K705" s="536"/>
    </row>
    <row r="706" spans="1:11">
      <c r="A706" s="518"/>
      <c r="B706" s="518"/>
      <c r="C706" s="518"/>
      <c r="D706" s="1277"/>
      <c r="E706" s="1277"/>
      <c r="F706" s="1277"/>
      <c r="H706" s="536"/>
      <c r="I706" s="1062"/>
      <c r="J706" s="536"/>
      <c r="K706" s="536"/>
    </row>
    <row r="707" spans="1:11">
      <c r="A707" s="518"/>
      <c r="B707" s="518"/>
      <c r="C707" s="518"/>
      <c r="D707" s="1277"/>
      <c r="E707" s="1277"/>
      <c r="F707" s="1277"/>
      <c r="H707" s="536"/>
      <c r="I707" s="1062"/>
      <c r="J707" s="536"/>
      <c r="K707" s="536"/>
    </row>
    <row r="708" spans="1:11">
      <c r="A708" s="518"/>
      <c r="B708" s="518"/>
      <c r="C708" s="518"/>
      <c r="D708" s="1277"/>
      <c r="E708" s="1277"/>
      <c r="F708" s="1277"/>
      <c r="H708" s="536"/>
      <c r="I708" s="1062"/>
      <c r="J708" s="536"/>
      <c r="K708" s="536"/>
    </row>
    <row r="709" spans="1:11" ht="15" customHeight="1">
      <c r="A709" s="518"/>
      <c r="B709" s="518"/>
      <c r="C709" s="518"/>
      <c r="D709" s="1277"/>
      <c r="E709" s="1277"/>
      <c r="F709" s="1277"/>
      <c r="H709" s="536"/>
      <c r="I709" s="1062"/>
      <c r="J709" s="536"/>
      <c r="K709" s="536"/>
    </row>
    <row r="710" spans="1:11">
      <c r="A710" s="518"/>
      <c r="B710" s="518"/>
      <c r="C710" s="518"/>
      <c r="D710" s="1277"/>
      <c r="E710" s="1277"/>
      <c r="F710" s="1277"/>
      <c r="H710" s="536"/>
      <c r="I710" s="1062"/>
      <c r="J710" s="536"/>
      <c r="K710" s="536"/>
    </row>
    <row r="711" spans="1:11">
      <c r="A711" s="518"/>
      <c r="B711" s="518"/>
      <c r="C711" s="518"/>
      <c r="D711" s="1277"/>
      <c r="E711" s="1277"/>
      <c r="F711" s="1277"/>
      <c r="H711" s="536"/>
      <c r="I711" s="1062"/>
      <c r="J711" s="536"/>
      <c r="K711" s="536"/>
    </row>
    <row r="712" spans="1:11">
      <c r="A712" s="518"/>
      <c r="B712" s="518"/>
      <c r="C712" s="518"/>
      <c r="D712" s="1277"/>
      <c r="E712" s="1277"/>
      <c r="F712" s="1277"/>
      <c r="H712" s="536"/>
      <c r="I712" s="1062"/>
      <c r="J712" s="536"/>
      <c r="K712" s="536"/>
    </row>
    <row r="713" spans="1:11">
      <c r="A713" s="518"/>
      <c r="B713" s="518"/>
      <c r="C713" s="518"/>
      <c r="D713" s="1277"/>
      <c r="E713" s="1277"/>
      <c r="F713" s="1277"/>
      <c r="H713" s="536"/>
      <c r="I713" s="1062"/>
      <c r="J713" s="536"/>
      <c r="K713" s="536"/>
    </row>
    <row r="714" spans="1:11">
      <c r="A714" s="518"/>
      <c r="B714" s="520" t="s">
        <v>2780</v>
      </c>
      <c r="C714" s="518"/>
      <c r="D714" s="1277" t="s">
        <v>1172</v>
      </c>
      <c r="E714" s="1277"/>
      <c r="F714" s="1277"/>
      <c r="H714" s="536"/>
      <c r="I714" s="1062" t="s">
        <v>2233</v>
      </c>
      <c r="J714" s="536"/>
      <c r="K714" s="536"/>
    </row>
    <row r="715" spans="1:11">
      <c r="A715" s="518"/>
      <c r="B715" s="518"/>
      <c r="C715" s="518"/>
      <c r="D715" s="1277"/>
      <c r="E715" s="1277"/>
      <c r="F715" s="1277"/>
      <c r="H715" s="536"/>
      <c r="I715" s="1062"/>
      <c r="J715" s="536"/>
      <c r="K715" s="536"/>
    </row>
    <row r="716" spans="1:11">
      <c r="A716" s="518"/>
      <c r="B716" s="518"/>
      <c r="C716" s="518"/>
      <c r="D716" s="480"/>
      <c r="E716" s="480"/>
      <c r="F716" s="480"/>
      <c r="H716" s="536"/>
      <c r="I716" s="1062"/>
      <c r="J716" s="536"/>
      <c r="K716" s="536"/>
    </row>
    <row r="717" spans="1:11">
      <c r="A717" s="518"/>
      <c r="B717" s="520" t="s">
        <v>2780</v>
      </c>
      <c r="C717" s="518"/>
      <c r="D717" s="1277" t="s">
        <v>1166</v>
      </c>
      <c r="E717" s="1277"/>
      <c r="F717" s="1277"/>
      <c r="H717" s="536"/>
      <c r="I717" s="1062" t="s">
        <v>2233</v>
      </c>
      <c r="J717" s="536"/>
      <c r="K717" s="536"/>
    </row>
    <row r="718" spans="1:11">
      <c r="A718" s="518"/>
      <c r="B718" s="518"/>
      <c r="C718" s="518"/>
      <c r="D718" s="1277"/>
      <c r="E718" s="1277"/>
      <c r="F718" s="1277"/>
      <c r="H718" s="536"/>
      <c r="I718" s="1062"/>
      <c r="J718" s="536"/>
      <c r="K718" s="536"/>
    </row>
    <row r="719" spans="1:11">
      <c r="A719" s="518"/>
      <c r="B719" s="518"/>
      <c r="C719" s="518"/>
      <c r="D719" s="1277"/>
      <c r="E719" s="1277"/>
      <c r="F719" s="1277"/>
      <c r="H719" s="536"/>
      <c r="I719" s="1062"/>
      <c r="J719" s="536"/>
      <c r="K719" s="536"/>
    </row>
    <row r="720" spans="1:11">
      <c r="A720" s="518"/>
      <c r="B720" s="518"/>
      <c r="C720" s="518"/>
      <c r="H720" s="536"/>
      <c r="I720" s="1062"/>
      <c r="J720" s="536"/>
      <c r="K720" s="536"/>
    </row>
    <row r="721" spans="1:11">
      <c r="A721" s="518"/>
      <c r="B721" s="520" t="s">
        <v>2780</v>
      </c>
      <c r="C721" s="518"/>
      <c r="D721" s="1277" t="s">
        <v>1167</v>
      </c>
      <c r="E721" s="1277"/>
      <c r="F721" s="1277"/>
      <c r="H721" s="536"/>
      <c r="I721" s="1062" t="s">
        <v>2233</v>
      </c>
      <c r="J721" s="536"/>
      <c r="K721" s="536"/>
    </row>
    <row r="722" spans="1:11">
      <c r="A722" s="518"/>
      <c r="B722" s="518"/>
      <c r="C722" s="518"/>
      <c r="D722" s="1277"/>
      <c r="E722" s="1277"/>
      <c r="F722" s="1277"/>
      <c r="H722" s="536"/>
      <c r="I722" s="1062"/>
      <c r="J722" s="536"/>
      <c r="K722" s="536"/>
    </row>
    <row r="723" spans="1:11">
      <c r="A723" s="518"/>
      <c r="B723" s="518"/>
      <c r="C723" s="518"/>
      <c r="D723" s="1277"/>
      <c r="E723" s="1277"/>
      <c r="F723" s="1277"/>
      <c r="H723" s="536"/>
      <c r="I723" s="1062"/>
      <c r="J723" s="536"/>
      <c r="K723" s="536"/>
    </row>
    <row r="724" spans="1:11">
      <c r="A724" s="518"/>
      <c r="B724" s="518"/>
      <c r="C724" s="518"/>
      <c r="H724" s="536"/>
      <c r="I724" s="1062"/>
      <c r="J724" s="536"/>
      <c r="K724" s="536"/>
    </row>
    <row r="725" spans="1:11" ht="14.25">
      <c r="A725" s="519"/>
      <c r="B725" s="520" t="s">
        <v>2780</v>
      </c>
      <c r="C725" s="518"/>
      <c r="D725" s="1277" t="s">
        <v>1168</v>
      </c>
      <c r="E725" s="1277"/>
      <c r="F725" s="1277"/>
      <c r="H725" s="536"/>
      <c r="I725" s="1062" t="s">
        <v>2184</v>
      </c>
      <c r="J725" s="536"/>
      <c r="K725" s="536"/>
    </row>
    <row r="726" spans="1:11">
      <c r="A726" s="518"/>
      <c r="B726" s="518"/>
      <c r="C726" s="518"/>
      <c r="D726" s="1277"/>
      <c r="E726" s="1277"/>
      <c r="F726" s="1277"/>
      <c r="H726" s="536"/>
      <c r="I726" s="1062"/>
      <c r="J726" s="536"/>
      <c r="K726" s="536"/>
    </row>
    <row r="727" spans="1:11">
      <c r="A727" s="518"/>
      <c r="B727" s="518"/>
      <c r="C727" s="518"/>
      <c r="D727" s="1277"/>
      <c r="E727" s="1277"/>
      <c r="F727" s="1277"/>
      <c r="H727" s="536"/>
      <c r="I727" s="1062"/>
      <c r="J727" s="536"/>
      <c r="K727" s="536"/>
    </row>
    <row r="728" spans="1:11">
      <c r="A728" s="518"/>
      <c r="B728" s="518"/>
      <c r="C728" s="518"/>
      <c r="D728" s="1277"/>
      <c r="E728" s="1277"/>
      <c r="F728" s="1277"/>
      <c r="H728" s="536"/>
      <c r="I728" s="1062"/>
      <c r="J728" s="536"/>
      <c r="K728" s="536"/>
    </row>
    <row r="729" spans="1:11">
      <c r="A729" s="518"/>
      <c r="B729" s="518"/>
      <c r="C729" s="518"/>
      <c r="D729" s="527"/>
      <c r="H729" s="536"/>
      <c r="I729" s="1062"/>
      <c r="J729" s="536"/>
      <c r="K729" s="536"/>
    </row>
    <row r="730" spans="1:11" ht="14.25">
      <c r="A730" s="519"/>
      <c r="B730" s="520" t="s">
        <v>2780</v>
      </c>
      <c r="C730" s="518"/>
      <c r="D730" s="1277" t="s">
        <v>2617</v>
      </c>
      <c r="E730" s="1277"/>
      <c r="F730" s="1277"/>
      <c r="H730" s="536"/>
      <c r="I730" s="1062" t="s">
        <v>2200</v>
      </c>
      <c r="J730" s="536"/>
      <c r="K730" s="536"/>
    </row>
    <row r="731" spans="1:11">
      <c r="A731" s="518"/>
      <c r="B731" s="518"/>
      <c r="C731" s="518"/>
      <c r="D731" s="1277"/>
      <c r="E731" s="1277"/>
      <c r="F731" s="1277"/>
      <c r="H731" s="536"/>
      <c r="I731" s="1062"/>
      <c r="J731" s="536"/>
      <c r="K731" s="536"/>
    </row>
    <row r="732" spans="1:11">
      <c r="A732" s="518"/>
      <c r="B732" s="518"/>
      <c r="C732" s="518"/>
      <c r="D732" s="1277"/>
      <c r="E732" s="1277"/>
      <c r="F732" s="1277"/>
      <c r="H732" s="536"/>
      <c r="I732" s="1062"/>
      <c r="J732" s="536"/>
      <c r="K732" s="536"/>
    </row>
    <row r="733" spans="1:11">
      <c r="A733" s="518"/>
      <c r="B733" s="518"/>
      <c r="C733" s="518"/>
      <c r="D733" s="1277"/>
      <c r="E733" s="1277"/>
      <c r="F733" s="1277"/>
      <c r="H733" s="536"/>
      <c r="I733" s="1062"/>
      <c r="J733" s="536"/>
      <c r="K733" s="536"/>
    </row>
    <row r="734" spans="1:11">
      <c r="A734" s="518"/>
      <c r="B734" s="518"/>
      <c r="C734" s="518"/>
      <c r="D734" s="1277"/>
      <c r="E734" s="1277"/>
      <c r="F734" s="1277"/>
      <c r="H734" s="536"/>
      <c r="I734" s="1062"/>
      <c r="J734" s="536"/>
      <c r="K734" s="536"/>
    </row>
    <row r="735" spans="1:11">
      <c r="A735" s="518"/>
      <c r="B735" s="518"/>
      <c r="C735" s="518"/>
      <c r="D735" s="1277"/>
      <c r="E735" s="1277"/>
      <c r="F735" s="1277"/>
      <c r="H735" s="536"/>
      <c r="I735" s="1062"/>
      <c r="J735" s="536"/>
      <c r="K735" s="536"/>
    </row>
    <row r="736" spans="1:11">
      <c r="A736" s="518"/>
      <c r="B736" s="518"/>
      <c r="C736" s="518"/>
      <c r="D736" s="1277"/>
      <c r="E736" s="1277"/>
      <c r="F736" s="1277"/>
      <c r="H736" s="536"/>
      <c r="I736" s="1062"/>
      <c r="J736" s="536"/>
      <c r="K736" s="536"/>
    </row>
    <row r="737" spans="1:11">
      <c r="A737" s="518"/>
      <c r="B737" s="518"/>
      <c r="C737" s="518"/>
      <c r="D737" s="1289" t="s">
        <v>2471</v>
      </c>
      <c r="E737" s="1289"/>
      <c r="F737" s="1289"/>
      <c r="H737" s="536"/>
      <c r="I737" s="1062"/>
      <c r="J737" s="536"/>
      <c r="K737" s="536"/>
    </row>
    <row r="738" spans="1:11">
      <c r="A738" s="518"/>
      <c r="B738" s="518"/>
      <c r="C738" s="518"/>
      <c r="D738" s="370"/>
      <c r="H738" s="536"/>
      <c r="I738" s="1062"/>
      <c r="J738" s="536"/>
      <c r="K738" s="536"/>
    </row>
    <row r="739" spans="1:11">
      <c r="A739" s="1284" t="s">
        <v>1126</v>
      </c>
      <c r="B739" s="1284"/>
      <c r="C739" s="1284"/>
      <c r="D739" s="1284"/>
      <c r="E739" s="1284"/>
      <c r="F739" s="1284"/>
      <c r="G739" s="1284"/>
      <c r="H739" s="1070"/>
      <c r="I739" s="1071"/>
      <c r="J739" s="536"/>
      <c r="K739" s="536"/>
    </row>
    <row r="740" spans="1:11">
      <c r="A740" s="518"/>
      <c r="B740" s="518"/>
      <c r="C740" s="518"/>
      <c r="D740" s="527"/>
      <c r="G740" s="536"/>
      <c r="H740" s="536"/>
      <c r="I740" s="1062"/>
      <c r="J740" s="536"/>
      <c r="K740" s="536"/>
    </row>
    <row r="741" spans="1:11" ht="13.7" customHeight="1">
      <c r="C741" s="518"/>
      <c r="D741" s="1305" t="s">
        <v>1142</v>
      </c>
      <c r="E741" s="1305"/>
      <c r="F741" s="1305"/>
      <c r="G741" s="536"/>
      <c r="H741" s="536"/>
      <c r="I741" s="1062"/>
      <c r="J741" s="536"/>
      <c r="K741" s="536"/>
    </row>
    <row r="742" spans="1:11">
      <c r="A742" s="518"/>
      <c r="B742" s="518"/>
      <c r="C742" s="518"/>
      <c r="D742" s="1292" t="s">
        <v>1143</v>
      </c>
      <c r="E742" s="1292"/>
      <c r="F742" s="1292"/>
      <c r="G742" s="536"/>
      <c r="H742" s="536"/>
      <c r="I742" s="1062"/>
      <c r="J742" s="536"/>
      <c r="K742" s="536"/>
    </row>
    <row r="743" spans="1:11">
      <c r="A743" s="518"/>
      <c r="B743" s="518"/>
      <c r="C743" s="518"/>
      <c r="G743" s="536"/>
      <c r="H743" s="536"/>
      <c r="I743" s="1062"/>
      <c r="J743" s="536"/>
      <c r="K743" s="536"/>
    </row>
    <row r="744" spans="1:11" ht="14.25">
      <c r="A744" s="519"/>
      <c r="B744" s="520" t="s">
        <v>2779</v>
      </c>
      <c r="D744" s="1277" t="s">
        <v>1144</v>
      </c>
      <c r="E744" s="1277"/>
      <c r="F744" s="1277"/>
      <c r="G744" s="536"/>
      <c r="H744" s="536"/>
      <c r="I744" s="1062" t="s">
        <v>2185</v>
      </c>
      <c r="J744" s="536"/>
      <c r="K744" s="536"/>
    </row>
    <row r="745" spans="1:11" ht="10.5" customHeight="1">
      <c r="D745" s="1277"/>
      <c r="E745" s="1277"/>
      <c r="F745" s="1277"/>
      <c r="G745" s="536"/>
      <c r="H745" s="536"/>
      <c r="I745" s="1062"/>
      <c r="J745" s="536"/>
      <c r="K745" s="536"/>
    </row>
    <row r="746" spans="1:11">
      <c r="D746" s="1277"/>
      <c r="E746" s="1277"/>
      <c r="F746" s="1277"/>
      <c r="G746" s="536"/>
      <c r="H746" s="536"/>
      <c r="I746" s="1062"/>
      <c r="J746" s="536"/>
      <c r="K746" s="536"/>
    </row>
    <row r="747" spans="1:11">
      <c r="D747" s="1277"/>
      <c r="E747" s="1277"/>
      <c r="F747" s="1277"/>
      <c r="G747" s="536"/>
      <c r="H747" s="536"/>
      <c r="I747" s="1062"/>
      <c r="J747" s="536"/>
      <c r="K747" s="536"/>
    </row>
    <row r="748" spans="1:11">
      <c r="D748" s="1277"/>
      <c r="E748" s="1277"/>
      <c r="F748" s="1277"/>
      <c r="G748" s="536"/>
      <c r="H748" s="536"/>
      <c r="I748" s="1062"/>
      <c r="J748" s="536"/>
      <c r="K748" s="536"/>
    </row>
    <row r="749" spans="1:11" ht="15.6" customHeight="1">
      <c r="D749" s="1277"/>
      <c r="E749" s="1277"/>
      <c r="F749" s="1277"/>
      <c r="G749" s="536"/>
      <c r="H749" s="536"/>
      <c r="I749" s="1062"/>
      <c r="J749" s="536"/>
      <c r="K749" s="536"/>
    </row>
    <row r="750" spans="1:11">
      <c r="D750" s="534"/>
      <c r="E750" s="481"/>
      <c r="F750" s="481"/>
      <c r="G750" s="536"/>
      <c r="H750" s="536"/>
      <c r="I750" s="1062"/>
      <c r="J750" s="536"/>
      <c r="K750" s="536"/>
    </row>
    <row r="751" spans="1:11" s="540" customFormat="1" ht="14.25">
      <c r="A751" s="538"/>
      <c r="B751" s="520" t="s">
        <v>2779</v>
      </c>
      <c r="C751" s="539"/>
      <c r="D751" s="1277" t="s">
        <v>1390</v>
      </c>
      <c r="E751" s="1277"/>
      <c r="F751" s="1277"/>
      <c r="I751" s="1063" t="s">
        <v>2185</v>
      </c>
    </row>
    <row r="752" spans="1:11" s="540" customFormat="1">
      <c r="A752" s="539"/>
      <c r="B752" s="539"/>
      <c r="C752" s="539"/>
      <c r="D752" s="1277"/>
      <c r="E752" s="1277"/>
      <c r="F752" s="1277"/>
      <c r="I752" s="1063"/>
    </row>
    <row r="753" spans="1:11" s="540" customFormat="1">
      <c r="A753" s="539"/>
      <c r="B753" s="539"/>
      <c r="C753" s="539"/>
      <c r="D753" s="1277"/>
      <c r="E753" s="1277"/>
      <c r="F753" s="1277"/>
      <c r="I753" s="1063"/>
    </row>
    <row r="754" spans="1:11" s="540" customFormat="1">
      <c r="A754" s="539"/>
      <c r="B754" s="539"/>
      <c r="C754" s="539"/>
      <c r="D754" s="1277"/>
      <c r="E754" s="1277"/>
      <c r="F754" s="1277"/>
      <c r="I754" s="1063"/>
    </row>
    <row r="755" spans="1:11" s="540" customFormat="1">
      <c r="A755" s="539"/>
      <c r="B755" s="539"/>
      <c r="C755" s="539"/>
      <c r="D755" s="534"/>
      <c r="I755" s="1063"/>
    </row>
    <row r="756" spans="1:11" s="540" customFormat="1" ht="14.25">
      <c r="A756" s="519"/>
      <c r="B756" s="520" t="s">
        <v>2779</v>
      </c>
      <c r="C756" s="539"/>
      <c r="D756" s="1279" t="s">
        <v>1391</v>
      </c>
      <c r="E756" s="1279"/>
      <c r="F756" s="1279"/>
      <c r="I756" s="1063" t="s">
        <v>2186</v>
      </c>
    </row>
    <row r="757" spans="1:11" s="540" customFormat="1">
      <c r="A757" s="539"/>
      <c r="B757" s="539"/>
      <c r="C757" s="539"/>
      <c r="D757" s="1279"/>
      <c r="E757" s="1279"/>
      <c r="F757" s="1279"/>
      <c r="I757" s="1063"/>
    </row>
    <row r="758" spans="1:11" s="540" customFormat="1">
      <c r="A758" s="539"/>
      <c r="B758" s="539"/>
      <c r="C758" s="539"/>
      <c r="D758" s="1279"/>
      <c r="E758" s="1279"/>
      <c r="F758" s="1279"/>
      <c r="I758" s="1063"/>
    </row>
    <row r="759" spans="1:11">
      <c r="D759" s="534"/>
      <c r="E759" s="481"/>
      <c r="F759" s="481"/>
      <c r="G759" s="536"/>
      <c r="H759" s="536"/>
      <c r="I759" s="1062"/>
      <c r="J759" s="536"/>
      <c r="K759" s="536"/>
    </row>
    <row r="760" spans="1:11" ht="14.25">
      <c r="A760" s="519"/>
      <c r="B760" s="520" t="s">
        <v>2780</v>
      </c>
      <c r="D760" s="1277" t="s">
        <v>1342</v>
      </c>
      <c r="E760" s="1277"/>
      <c r="F760" s="1277"/>
      <c r="G760" s="536"/>
      <c r="H760" s="536"/>
      <c r="I760" s="1062" t="s">
        <v>2185</v>
      </c>
      <c r="J760" s="536"/>
      <c r="K760" s="536"/>
    </row>
    <row r="761" spans="1:11">
      <c r="D761" s="1277"/>
      <c r="E761" s="1277"/>
      <c r="F761" s="1277"/>
      <c r="G761" s="536"/>
      <c r="H761" s="536"/>
      <c r="I761" s="1062"/>
      <c r="J761" s="536"/>
      <c r="K761" s="536"/>
    </row>
    <row r="762" spans="1:11">
      <c r="D762" s="480"/>
      <c r="E762" s="480"/>
      <c r="F762" s="480"/>
      <c r="G762" s="536"/>
      <c r="H762" s="536"/>
      <c r="I762" s="1062"/>
      <c r="J762" s="536"/>
      <c r="K762" s="536"/>
    </row>
    <row r="763" spans="1:11">
      <c r="B763" s="520" t="s">
        <v>2780</v>
      </c>
      <c r="D763" s="1277" t="s">
        <v>1359</v>
      </c>
      <c r="E763" s="1277"/>
      <c r="F763" s="1277"/>
      <c r="G763" s="536"/>
      <c r="H763" s="536"/>
      <c r="I763" s="1062" t="s">
        <v>2185</v>
      </c>
      <c r="J763" s="536"/>
      <c r="K763" s="536"/>
    </row>
    <row r="764" spans="1:11">
      <c r="D764" s="1277"/>
      <c r="E764" s="1277"/>
      <c r="F764" s="1277"/>
      <c r="G764" s="536"/>
      <c r="H764" s="536"/>
      <c r="I764" s="1062"/>
      <c r="J764" s="536"/>
      <c r="K764" s="536"/>
    </row>
    <row r="765" spans="1:11">
      <c r="D765" s="1277"/>
      <c r="E765" s="1277"/>
      <c r="F765" s="1277"/>
      <c r="G765" s="536"/>
      <c r="H765" s="536"/>
      <c r="I765" s="1062"/>
      <c r="J765" s="536"/>
      <c r="K765" s="536"/>
    </row>
    <row r="766" spans="1:11">
      <c r="D766" s="480"/>
      <c r="E766" s="480"/>
      <c r="F766" s="480"/>
      <c r="G766" s="536"/>
      <c r="H766" s="536"/>
      <c r="I766" s="1062"/>
      <c r="J766" s="536"/>
      <c r="K766" s="536"/>
    </row>
    <row r="767" spans="1:11">
      <c r="A767" s="1331" t="s">
        <v>2065</v>
      </c>
      <c r="B767" s="1331"/>
      <c r="C767" s="1331"/>
      <c r="D767" s="1331"/>
      <c r="E767" s="1331"/>
      <c r="F767" s="1331"/>
      <c r="G767" s="1331"/>
      <c r="H767" s="1068"/>
      <c r="I767" s="1069"/>
    </row>
    <row r="768" spans="1:11">
      <c r="A768" s="57"/>
      <c r="B768" s="57"/>
      <c r="C768" s="386"/>
      <c r="D768" s="3"/>
      <c r="E768" s="3"/>
      <c r="F768" s="3"/>
      <c r="G768" s="3"/>
    </row>
    <row r="769" spans="1:9">
      <c r="A769" s="57"/>
      <c r="B769" s="57"/>
      <c r="C769" s="386"/>
      <c r="D769" s="1332" t="s">
        <v>2119</v>
      </c>
      <c r="E769" s="1332"/>
      <c r="F769" s="1332"/>
      <c r="G769" s="3"/>
    </row>
    <row r="770" spans="1:9">
      <c r="A770" s="57"/>
      <c r="B770" s="57"/>
      <c r="C770" s="386"/>
      <c r="D770" s="1310" t="s">
        <v>2018</v>
      </c>
      <c r="E770" s="1310"/>
      <c r="F770" s="1310"/>
      <c r="G770" s="3"/>
    </row>
    <row r="771" spans="1:9">
      <c r="A771" s="57"/>
      <c r="B771" s="57"/>
      <c r="C771" s="386"/>
      <c r="D771" s="482"/>
      <c r="E771" s="482"/>
      <c r="F771" s="482"/>
      <c r="G771" s="3"/>
    </row>
    <row r="772" spans="1:9">
      <c r="A772" s="57"/>
      <c r="B772" s="520" t="s">
        <v>2779</v>
      </c>
      <c r="C772" s="386"/>
      <c r="D772" s="1295" t="s">
        <v>2019</v>
      </c>
      <c r="E772" s="1295"/>
      <c r="F772" s="1295"/>
      <c r="G772" s="3"/>
      <c r="I772" s="1062" t="s">
        <v>2235</v>
      </c>
    </row>
    <row r="773" spans="1:9">
      <c r="A773" s="57"/>
      <c r="B773" s="57"/>
      <c r="C773" s="386"/>
      <c r="D773" s="1295"/>
      <c r="E773" s="1295"/>
      <c r="F773" s="1295"/>
      <c r="G773" s="3"/>
    </row>
    <row r="774" spans="1:9">
      <c r="A774" s="175"/>
      <c r="B774" s="175"/>
      <c r="C774" s="175"/>
      <c r="D774" s="1295"/>
      <c r="E774" s="1295"/>
      <c r="F774" s="1295"/>
      <c r="G774" s="118"/>
    </row>
    <row r="775" spans="1:9">
      <c r="A775" s="386"/>
      <c r="B775" s="386"/>
      <c r="C775" s="386"/>
      <c r="D775" s="174"/>
      <c r="E775" s="3"/>
      <c r="F775" s="3"/>
      <c r="G775" s="3"/>
    </row>
    <row r="776" spans="1:9">
      <c r="A776" s="172"/>
      <c r="B776" s="520" t="s">
        <v>2780</v>
      </c>
      <c r="C776" s="172"/>
      <c r="D776" s="1295" t="s">
        <v>2020</v>
      </c>
      <c r="E776" s="1295"/>
      <c r="F776" s="1295"/>
      <c r="G776" s="3"/>
      <c r="I776" s="1062" t="s">
        <v>2235</v>
      </c>
    </row>
    <row r="777" spans="1:9">
      <c r="A777" s="172"/>
      <c r="B777" s="172"/>
      <c r="C777" s="172"/>
      <c r="D777" s="1295"/>
      <c r="E777" s="1295"/>
      <c r="F777" s="1295"/>
      <c r="G777" s="3"/>
    </row>
    <row r="778" spans="1:9">
      <c r="A778" s="172"/>
      <c r="B778" s="172"/>
      <c r="C778" s="172"/>
      <c r="D778" s="1295"/>
      <c r="E778" s="1295"/>
      <c r="F778" s="1295"/>
      <c r="G778" s="3"/>
    </row>
    <row r="779" spans="1:9">
      <c r="A779" s="175"/>
      <c r="B779" s="175"/>
      <c r="C779" s="175"/>
      <c r="D779" s="3"/>
      <c r="E779" s="1022"/>
      <c r="F779" s="1022"/>
      <c r="G779" s="1022"/>
    </row>
    <row r="780" spans="1:9" ht="14.25">
      <c r="A780" s="176"/>
      <c r="B780" s="520" t="s">
        <v>2780</v>
      </c>
      <c r="C780" s="1023"/>
      <c r="D780" s="1295" t="s">
        <v>2021</v>
      </c>
      <c r="E780" s="1295"/>
      <c r="F780" s="1295"/>
      <c r="G780" s="1022"/>
      <c r="I780" s="1062" t="s">
        <v>2235</v>
      </c>
    </row>
    <row r="781" spans="1:9" ht="14.25">
      <c r="A781" s="176"/>
      <c r="B781" s="176"/>
      <c r="C781" s="1023"/>
      <c r="D781" s="1295"/>
      <c r="E781" s="1295"/>
      <c r="F781" s="1295"/>
      <c r="G781" s="1022"/>
    </row>
    <row r="782" spans="1:9" ht="14.25">
      <c r="A782" s="176"/>
      <c r="B782" s="176"/>
      <c r="C782" s="1023"/>
      <c r="D782" s="1295"/>
      <c r="E782" s="1295"/>
      <c r="F782" s="1295"/>
      <c r="G782" s="1022"/>
    </row>
    <row r="783" spans="1:9" ht="14.25">
      <c r="A783" s="176"/>
      <c r="B783" s="176"/>
      <c r="C783" s="1023"/>
      <c r="D783" s="118"/>
      <c r="E783" s="3"/>
      <c r="F783" s="3"/>
      <c r="G783" s="1022"/>
    </row>
    <row r="784" spans="1:9" ht="14.25">
      <c r="A784" s="176"/>
      <c r="B784" s="520" t="s">
        <v>2780</v>
      </c>
      <c r="C784" s="1023"/>
      <c r="D784" s="1295" t="s">
        <v>2022</v>
      </c>
      <c r="E784" s="1295"/>
      <c r="F784" s="1295"/>
      <c r="G784" s="1022"/>
      <c r="I784" s="1062" t="s">
        <v>2235</v>
      </c>
    </row>
    <row r="785" spans="1:9" ht="14.25">
      <c r="A785" s="176"/>
      <c r="B785" s="176"/>
      <c r="C785" s="1023"/>
      <c r="D785" s="1295"/>
      <c r="E785" s="1295"/>
      <c r="F785" s="1295"/>
      <c r="G785" s="1022"/>
    </row>
    <row r="786" spans="1:9" ht="14.25">
      <c r="A786" s="176"/>
      <c r="B786" s="176"/>
      <c r="C786" s="1023"/>
      <c r="D786" s="1295"/>
      <c r="E786" s="1295"/>
      <c r="F786" s="1295"/>
      <c r="G786" s="1022"/>
    </row>
    <row r="787" spans="1:9" ht="14.25">
      <c r="A787" s="176"/>
      <c r="B787" s="176"/>
      <c r="C787" s="1023"/>
      <c r="D787" s="1295"/>
      <c r="E787" s="1295"/>
      <c r="F787" s="1295"/>
      <c r="G787" s="1022"/>
    </row>
    <row r="788" spans="1:9" ht="14.25">
      <c r="A788" s="176"/>
      <c r="B788" s="176"/>
      <c r="C788" s="1023"/>
      <c r="D788" s="1295"/>
      <c r="E788" s="1295"/>
      <c r="F788" s="1295"/>
      <c r="G788" s="1022"/>
    </row>
    <row r="789" spans="1:9" ht="14.25">
      <c r="A789" s="176"/>
      <c r="B789" s="176"/>
      <c r="C789" s="1023"/>
      <c r="D789" s="1295"/>
      <c r="E789" s="1295"/>
      <c r="F789" s="1295"/>
      <c r="G789" s="1022"/>
    </row>
    <row r="790" spans="1:9" ht="14.25">
      <c r="A790" s="176"/>
      <c r="B790" s="176"/>
      <c r="C790" s="1023"/>
      <c r="D790" s="1295" t="s">
        <v>2066</v>
      </c>
      <c r="E790" s="1295"/>
      <c r="F790" s="1295"/>
      <c r="G790" s="1022"/>
    </row>
    <row r="791" spans="1:9" ht="14.25">
      <c r="A791" s="176"/>
      <c r="B791" s="176"/>
      <c r="C791" s="1023"/>
      <c r="D791" s="1295"/>
      <c r="E791" s="1295"/>
      <c r="F791" s="1295"/>
      <c r="G791" s="1022"/>
    </row>
    <row r="792" spans="1:9" ht="14.25">
      <c r="A792" s="176"/>
      <c r="B792" s="176"/>
      <c r="C792" s="1023"/>
      <c r="D792" s="1295"/>
      <c r="E792" s="1295"/>
      <c r="F792" s="1295"/>
      <c r="G792" s="1022"/>
    </row>
    <row r="793" spans="1:9" ht="14.25">
      <c r="A793" s="176"/>
      <c r="B793" s="386"/>
      <c r="C793" s="1023"/>
      <c r="D793" s="1024"/>
      <c r="E793" s="1024"/>
      <c r="F793" s="1024"/>
      <c r="G793" s="1022"/>
    </row>
    <row r="794" spans="1:9" ht="14.25">
      <c r="A794" s="176"/>
      <c r="B794" s="520" t="s">
        <v>2780</v>
      </c>
      <c r="C794" s="1023"/>
      <c r="D794" s="1295" t="s">
        <v>2023</v>
      </c>
      <c r="E794" s="1295"/>
      <c r="F794" s="1295"/>
      <c r="G794" s="1022"/>
      <c r="I794" s="1062" t="s">
        <v>2235</v>
      </c>
    </row>
    <row r="795" spans="1:9" ht="14.25">
      <c r="A795" s="176"/>
      <c r="B795" s="176"/>
      <c r="C795" s="1023"/>
      <c r="D795" s="1295"/>
      <c r="E795" s="1295"/>
      <c r="F795" s="1295"/>
      <c r="G795" s="1022"/>
    </row>
    <row r="796" spans="1:9" ht="14.25">
      <c r="A796" s="176"/>
      <c r="B796" s="176"/>
      <c r="C796" s="1023"/>
      <c r="D796" s="1295"/>
      <c r="E796" s="1295"/>
      <c r="F796" s="1295"/>
      <c r="G796" s="1022"/>
    </row>
    <row r="797" spans="1:9" ht="14.25">
      <c r="A797" s="176"/>
      <c r="B797" s="176"/>
      <c r="C797" s="1023"/>
      <c r="D797" s="1295"/>
      <c r="E797" s="1295"/>
      <c r="F797" s="1295"/>
      <c r="G797" s="1022"/>
    </row>
    <row r="798" spans="1:9" ht="14.25">
      <c r="A798" s="176"/>
      <c r="B798" s="176"/>
      <c r="C798" s="1023"/>
      <c r="D798" s="1295"/>
      <c r="E798" s="1295"/>
      <c r="F798" s="1295"/>
      <c r="G798" s="1022"/>
    </row>
    <row r="799" spans="1:9" ht="14.25">
      <c r="A799" s="176"/>
      <c r="B799" s="176"/>
      <c r="C799" s="1023"/>
      <c r="D799" s="1295"/>
      <c r="E799" s="1295"/>
      <c r="F799" s="1295"/>
      <c r="G799" s="1022"/>
    </row>
    <row r="800" spans="1:9" ht="14.25">
      <c r="A800" s="176"/>
      <c r="B800" s="176"/>
      <c r="C800" s="1023"/>
      <c r="D800" s="1016"/>
      <c r="E800" s="1016"/>
      <c r="F800" s="1016"/>
      <c r="G800" s="1022"/>
    </row>
    <row r="801" spans="1:9" ht="14.25">
      <c r="A801" s="176"/>
      <c r="B801" s="520" t="s">
        <v>2780</v>
      </c>
      <c r="C801" s="1023"/>
      <c r="D801" s="1295" t="s">
        <v>2024</v>
      </c>
      <c r="E801" s="1295"/>
      <c r="F801" s="1295"/>
      <c r="G801" s="1022"/>
      <c r="I801" s="1062" t="s">
        <v>2235</v>
      </c>
    </row>
    <row r="802" spans="1:9" ht="14.25">
      <c r="A802" s="176"/>
      <c r="B802" s="176"/>
      <c r="C802" s="1023"/>
      <c r="D802" s="1295"/>
      <c r="E802" s="1295"/>
      <c r="F802" s="1295"/>
      <c r="G802" s="1022"/>
    </row>
    <row r="803" spans="1:9" ht="14.25">
      <c r="A803" s="176"/>
      <c r="B803" s="176"/>
      <c r="C803" s="1023"/>
      <c r="D803" s="1295"/>
      <c r="E803" s="1295"/>
      <c r="F803" s="1295"/>
      <c r="G803" s="1022"/>
    </row>
    <row r="804" spans="1:9" ht="14.25">
      <c r="A804" s="176"/>
      <c r="B804" s="176"/>
      <c r="C804" s="1023"/>
      <c r="D804" s="1295"/>
      <c r="E804" s="1295"/>
      <c r="F804" s="1295"/>
      <c r="G804" s="1022"/>
    </row>
    <row r="805" spans="1:9" ht="14.25">
      <c r="A805" s="176"/>
      <c r="B805" s="176"/>
      <c r="C805" s="1023"/>
      <c r="D805" s="1295"/>
      <c r="E805" s="1295"/>
      <c r="F805" s="1295"/>
      <c r="G805" s="1022"/>
    </row>
    <row r="806" spans="1:9" ht="14.25">
      <c r="A806" s="176"/>
      <c r="B806" s="176"/>
      <c r="C806" s="1023"/>
      <c r="D806" s="1295"/>
      <c r="E806" s="1295"/>
      <c r="F806" s="1295"/>
      <c r="G806" s="1022"/>
    </row>
    <row r="807" spans="1:9" ht="14.25">
      <c r="A807" s="176"/>
      <c r="B807" s="176"/>
      <c r="C807" s="1023"/>
      <c r="D807" s="1016"/>
      <c r="E807" s="1016"/>
      <c r="F807" s="1016"/>
      <c r="G807" s="1022"/>
    </row>
    <row r="808" spans="1:9" ht="14.25">
      <c r="A808" s="176"/>
      <c r="B808" s="520" t="s">
        <v>2780</v>
      </c>
      <c r="C808" s="1023"/>
      <c r="D808" s="1303" t="s">
        <v>2025</v>
      </c>
      <c r="E808" s="1303"/>
      <c r="F808" s="1303"/>
      <c r="G808" s="1022"/>
      <c r="I808" s="1062" t="s">
        <v>2235</v>
      </c>
    </row>
    <row r="809" spans="1:9" ht="14.25">
      <c r="A809" s="176"/>
      <c r="B809" s="176"/>
      <c r="C809" s="1023"/>
      <c r="D809" s="1303"/>
      <c r="E809" s="1303"/>
      <c r="F809" s="1303"/>
      <c r="G809" s="1022"/>
    </row>
    <row r="810" spans="1:9">
      <c r="A810" s="13"/>
      <c r="B810" s="13"/>
      <c r="C810" s="1023"/>
      <c r="D810" s="1303"/>
      <c r="E810" s="1303"/>
      <c r="F810" s="1303"/>
      <c r="G810" s="1022"/>
    </row>
    <row r="811" spans="1:9" ht="14.25">
      <c r="A811" s="176"/>
      <c r="B811" s="13"/>
      <c r="C811" s="1023"/>
      <c r="D811" s="1303"/>
      <c r="E811" s="1303"/>
      <c r="F811" s="1303"/>
      <c r="G811" s="1022"/>
    </row>
    <row r="812" spans="1:9" ht="12.75" customHeight="1">
      <c r="A812" s="176"/>
      <c r="B812" s="13"/>
      <c r="C812" s="1023"/>
      <c r="D812" s="1303"/>
      <c r="E812" s="1303"/>
      <c r="F812" s="1303"/>
      <c r="G812" s="1022"/>
    </row>
    <row r="813" spans="1:9" ht="12.75" customHeight="1">
      <c r="A813" s="176"/>
      <c r="B813" s="13"/>
      <c r="C813" s="1023"/>
      <c r="D813" s="1303"/>
      <c r="E813" s="1303"/>
      <c r="F813" s="1303"/>
      <c r="G813" s="1022"/>
    </row>
    <row r="814" spans="1:9" ht="12.75" customHeight="1">
      <c r="A814" s="13"/>
      <c r="B814" s="13"/>
      <c r="C814" s="1023"/>
      <c r="D814" s="1022"/>
      <c r="E814" s="3"/>
      <c r="F814" s="3"/>
      <c r="G814" s="1022"/>
    </row>
    <row r="815" spans="1:9" ht="12.75" customHeight="1">
      <c r="A815" s="1290" t="s">
        <v>2026</v>
      </c>
      <c r="B815" s="1290"/>
      <c r="C815" s="1290"/>
      <c r="D815" s="1290"/>
      <c r="E815" s="1290"/>
      <c r="F815" s="1290"/>
      <c r="G815" s="1290"/>
      <c r="H815" s="1068"/>
      <c r="I815" s="1069"/>
    </row>
    <row r="816" spans="1:9" ht="12.75" customHeight="1">
      <c r="A816" s="172"/>
      <c r="B816" s="172"/>
      <c r="C816" s="1023"/>
      <c r="D816" s="1022"/>
      <c r="E816" s="1022"/>
      <c r="F816" s="1022"/>
      <c r="G816" s="1022"/>
    </row>
    <row r="817" spans="1:9" ht="12.75" customHeight="1">
      <c r="A817" s="176"/>
      <c r="B817" s="176"/>
      <c r="C817" s="386"/>
      <c r="D817" s="1294" t="s">
        <v>2067</v>
      </c>
      <c r="E817" s="1294"/>
      <c r="F817" s="1294"/>
      <c r="G817" s="3"/>
    </row>
    <row r="818" spans="1:9" ht="14.25" customHeight="1">
      <c r="A818" s="176"/>
      <c r="B818" s="176"/>
      <c r="C818" s="386"/>
      <c r="D818" s="1262" t="s">
        <v>2027</v>
      </c>
      <c r="E818" s="1262"/>
      <c r="F818" s="1262"/>
      <c r="G818" s="3"/>
    </row>
    <row r="819" spans="1:9" ht="12.75" customHeight="1">
      <c r="A819" s="176"/>
      <c r="B819" s="176"/>
      <c r="C819" s="386"/>
      <c r="D819" s="475"/>
      <c r="E819" s="475"/>
      <c r="F819" s="475"/>
      <c r="G819" s="3"/>
    </row>
    <row r="820" spans="1:9" ht="12.75" customHeight="1">
      <c r="A820" s="386"/>
      <c r="B820" s="520" t="s">
        <v>2779</v>
      </c>
      <c r="C820" s="1023"/>
      <c r="D820" s="1262" t="s">
        <v>2028</v>
      </c>
      <c r="E820" s="1262"/>
      <c r="F820" s="1262"/>
      <c r="G820" s="3"/>
      <c r="I820" s="436" t="s">
        <v>2203</v>
      </c>
    </row>
    <row r="821" spans="1:9" ht="14.25" customHeight="1">
      <c r="A821" s="13"/>
      <c r="B821" s="13"/>
      <c r="C821" s="1023"/>
      <c r="E821" s="1077" t="s">
        <v>2274</v>
      </c>
      <c r="F821" s="1079"/>
      <c r="G821" s="3"/>
    </row>
    <row r="822" spans="1:9" ht="12.75" customHeight="1">
      <c r="A822" s="13"/>
      <c r="B822" s="13"/>
      <c r="C822" s="1023"/>
      <c r="D822" s="1025"/>
      <c r="E822" s="3"/>
      <c r="F822" s="3"/>
      <c r="G822" s="3"/>
    </row>
    <row r="823" spans="1:9" ht="14.25" hidden="1" customHeight="1">
      <c r="A823" s="13"/>
      <c r="B823" s="520" t="s">
        <v>309</v>
      </c>
      <c r="C823" s="1023"/>
      <c r="D823" s="1341" t="s">
        <v>2472</v>
      </c>
      <c r="E823" s="1341"/>
      <c r="F823" s="1341"/>
      <c r="G823" s="3"/>
    </row>
    <row r="824" spans="1:9" ht="12.75" hidden="1" customHeight="1">
      <c r="A824" s="13"/>
      <c r="B824" s="13"/>
      <c r="C824" s="1023"/>
      <c r="D824" s="1341"/>
      <c r="E824" s="1341"/>
      <c r="F824" s="1341"/>
      <c r="G824" s="3"/>
    </row>
    <row r="825" spans="1:9" ht="12.75" hidden="1" customHeight="1">
      <c r="A825" s="13"/>
      <c r="B825" s="13"/>
      <c r="C825" s="1023"/>
      <c r="D825" s="1341"/>
      <c r="E825" s="1341"/>
      <c r="F825" s="1341"/>
      <c r="G825" s="3"/>
    </row>
    <row r="826" spans="1:9" ht="12.75" hidden="1" customHeight="1">
      <c r="A826" s="13"/>
      <c r="B826" s="13"/>
      <c r="C826" s="1023"/>
      <c r="D826" s="1341"/>
      <c r="E826" s="1341"/>
      <c r="F826" s="1341"/>
      <c r="G826" s="3"/>
    </row>
    <row r="827" spans="1:9" ht="12.75" hidden="1" customHeight="1">
      <c r="A827" s="13"/>
      <c r="B827" s="13"/>
      <c r="C827" s="1023"/>
      <c r="D827" s="1341"/>
      <c r="E827" s="1341"/>
      <c r="F827" s="1341"/>
      <c r="G827" s="3"/>
    </row>
    <row r="828" spans="1:9" ht="12.75" hidden="1" customHeight="1">
      <c r="A828" s="13"/>
      <c r="B828" s="13"/>
      <c r="C828" s="1023"/>
      <c r="D828" s="1341"/>
      <c r="E828" s="1341"/>
      <c r="F828" s="1341"/>
      <c r="G828" s="3"/>
    </row>
    <row r="829" spans="1:9" ht="12.75" hidden="1" customHeight="1">
      <c r="A829" s="13"/>
      <c r="B829" s="13"/>
      <c r="C829" s="1023"/>
      <c r="D829" s="1341"/>
      <c r="E829" s="1341"/>
      <c r="F829" s="1341"/>
      <c r="G829" s="3"/>
    </row>
    <row r="830" spans="1:9" ht="12.75" hidden="1" customHeight="1">
      <c r="A830" s="13"/>
      <c r="B830" s="13"/>
      <c r="C830" s="1023"/>
      <c r="D830" s="1341"/>
      <c r="E830" s="1341"/>
      <c r="F830" s="1341"/>
      <c r="G830" s="3"/>
    </row>
    <row r="831" spans="1:9" ht="12.75" hidden="1" customHeight="1">
      <c r="A831" s="13"/>
      <c r="B831" s="13"/>
      <c r="C831" s="1023"/>
      <c r="D831" s="1341"/>
      <c r="E831" s="1341"/>
      <c r="F831" s="1341"/>
      <c r="G831" s="3"/>
    </row>
    <row r="832" spans="1:9" ht="12.75" hidden="1" customHeight="1">
      <c r="A832" s="13"/>
      <c r="B832" s="13"/>
      <c r="C832" s="1023"/>
      <c r="D832" s="1341"/>
      <c r="E832" s="1341"/>
      <c r="F832" s="1341"/>
      <c r="G832" s="3"/>
    </row>
    <row r="833" spans="1:9" ht="12.75" hidden="1" customHeight="1">
      <c r="A833" s="13"/>
      <c r="B833" s="13"/>
      <c r="C833" s="1023"/>
      <c r="D833" s="1025"/>
      <c r="E833" s="3"/>
      <c r="F833" s="3"/>
      <c r="G833" s="3"/>
    </row>
    <row r="834" spans="1:9" ht="12.75" customHeight="1">
      <c r="A834" s="176"/>
      <c r="B834" s="520" t="s">
        <v>2779</v>
      </c>
      <c r="C834" s="1023"/>
      <c r="D834" s="1262" t="s">
        <v>2029</v>
      </c>
      <c r="E834" s="1262"/>
      <c r="F834" s="1262"/>
      <c r="G834" s="3"/>
      <c r="I834" s="436" t="s">
        <v>2221</v>
      </c>
    </row>
    <row r="835" spans="1:9" ht="12.75" customHeight="1">
      <c r="A835" s="176"/>
      <c r="B835" s="176"/>
      <c r="C835" s="1023"/>
      <c r="D835" s="1262"/>
      <c r="E835" s="1262"/>
      <c r="F835" s="1262"/>
      <c r="G835" s="3"/>
    </row>
    <row r="836" spans="1:9" ht="12.75" customHeight="1">
      <c r="A836" s="176"/>
      <c r="B836" s="176"/>
      <c r="C836" s="1023"/>
      <c r="D836" s="1262"/>
      <c r="E836" s="1262"/>
      <c r="F836" s="1262"/>
      <c r="G836" s="3"/>
    </row>
    <row r="837" spans="1:9" ht="12.75" customHeight="1">
      <c r="A837" s="176"/>
      <c r="B837" s="176"/>
      <c r="C837" s="1023"/>
      <c r="D837" s="118"/>
      <c r="E837" s="3"/>
      <c r="F837" s="3"/>
      <c r="G837" s="3"/>
    </row>
    <row r="838" spans="1:9" ht="12.75" customHeight="1">
      <c r="A838" s="1026"/>
      <c r="B838" s="520" t="s">
        <v>2780</v>
      </c>
      <c r="C838" s="1023"/>
      <c r="D838" s="1294" t="s">
        <v>2030</v>
      </c>
      <c r="E838" s="1294"/>
      <c r="F838" s="1294"/>
      <c r="G838" s="3"/>
    </row>
    <row r="839" spans="1:9" ht="12.75" customHeight="1">
      <c r="A839" s="386"/>
      <c r="B839" s="1026"/>
      <c r="C839" s="1023"/>
      <c r="D839" s="1294"/>
      <c r="E839" s="1294"/>
      <c r="F839" s="1294"/>
      <c r="G839" s="3"/>
    </row>
    <row r="840" spans="1:9" ht="12.75" customHeight="1">
      <c r="A840" s="176"/>
      <c r="B840" s="386"/>
      <c r="C840" s="1023"/>
      <c r="D840" s="1262" t="s">
        <v>2463</v>
      </c>
      <c r="E840" s="1262"/>
      <c r="F840" s="1262"/>
      <c r="G840" s="3"/>
    </row>
    <row r="841" spans="1:9" ht="12.75" customHeight="1">
      <c r="A841" s="176"/>
      <c r="B841" s="176"/>
      <c r="C841" s="1023"/>
      <c r="D841" s="1262"/>
      <c r="E841" s="1262"/>
      <c r="F841" s="1262"/>
      <c r="G841" s="3"/>
    </row>
    <row r="842" spans="1:9" ht="12.75" customHeight="1">
      <c r="A842" s="176"/>
      <c r="B842" s="176"/>
      <c r="C842" s="1023"/>
      <c r="D842" s="1262"/>
      <c r="E842" s="1262"/>
      <c r="F842" s="1262"/>
      <c r="G842" s="3"/>
    </row>
    <row r="843" spans="1:9" ht="12.75" customHeight="1">
      <c r="A843" s="176"/>
      <c r="B843" s="176"/>
      <c r="C843" s="1023"/>
      <c r="D843" s="1262"/>
      <c r="E843" s="1262"/>
      <c r="F843" s="1262"/>
      <c r="G843" s="3"/>
    </row>
    <row r="844" spans="1:9" ht="12.75" customHeight="1">
      <c r="A844" s="176"/>
      <c r="B844" s="176"/>
      <c r="C844" s="1023"/>
      <c r="D844" s="1262"/>
      <c r="E844" s="1262"/>
      <c r="F844" s="1262"/>
      <c r="G844" s="3"/>
    </row>
    <row r="845" spans="1:9" ht="12.75" customHeight="1">
      <c r="A845" s="176"/>
      <c r="B845" s="176"/>
      <c r="C845" s="1023"/>
      <c r="D845" s="1262"/>
      <c r="E845" s="1262"/>
      <c r="F845" s="1262"/>
      <c r="G845" s="3"/>
    </row>
    <row r="846" spans="1:9" ht="12.75" customHeight="1">
      <c r="A846" s="176"/>
      <c r="B846" s="176"/>
      <c r="C846" s="1023"/>
      <c r="D846" s="118"/>
      <c r="E846" s="3"/>
      <c r="F846" s="3"/>
      <c r="G846" s="3"/>
    </row>
    <row r="847" spans="1:9" ht="12.75" customHeight="1">
      <c r="A847" s="176"/>
      <c r="B847" s="520" t="s">
        <v>2780</v>
      </c>
      <c r="C847" s="1023"/>
      <c r="D847" s="1262" t="s">
        <v>2031</v>
      </c>
      <c r="E847" s="1262"/>
      <c r="F847" s="1262"/>
      <c r="G847" s="3"/>
      <c r="I847" s="436" t="s">
        <v>2204</v>
      </c>
    </row>
    <row r="848" spans="1:9" ht="12.75" customHeight="1">
      <c r="A848" s="176"/>
      <c r="B848" s="176"/>
      <c r="C848" s="1023"/>
      <c r="D848" s="1262" t="s">
        <v>2032</v>
      </c>
      <c r="E848" s="1262"/>
      <c r="F848" s="1262"/>
      <c r="G848" s="3"/>
    </row>
    <row r="849" spans="1:9" ht="12.75" customHeight="1">
      <c r="A849" s="176"/>
      <c r="B849" s="176"/>
      <c r="C849" s="1023"/>
      <c r="E849" s="1077" t="s">
        <v>2276</v>
      </c>
      <c r="F849" s="1079"/>
      <c r="G849" s="3"/>
    </row>
    <row r="850" spans="1:9" ht="12.75" customHeight="1">
      <c r="A850" s="176"/>
      <c r="B850" s="176"/>
      <c r="C850" s="1023"/>
      <c r="D850" s="118"/>
      <c r="E850" s="3"/>
      <c r="F850" s="3"/>
      <c r="G850" s="3"/>
    </row>
    <row r="851" spans="1:9" ht="12.75" customHeight="1">
      <c r="A851" s="176"/>
      <c r="B851" s="520" t="s">
        <v>2780</v>
      </c>
      <c r="C851" s="1023"/>
      <c r="D851" s="1262" t="s">
        <v>2033</v>
      </c>
      <c r="E851" s="1262"/>
      <c r="F851" s="1262"/>
      <c r="G851" s="3"/>
      <c r="I851" s="436" t="s">
        <v>2222</v>
      </c>
    </row>
    <row r="852" spans="1:9" ht="12.75" customHeight="1">
      <c r="A852" s="176"/>
      <c r="B852" s="176"/>
      <c r="C852" s="1023"/>
      <c r="D852" s="1262"/>
      <c r="E852" s="1262"/>
      <c r="F852" s="1262"/>
      <c r="G852" s="3"/>
    </row>
    <row r="853" spans="1:9" ht="12.75" customHeight="1">
      <c r="A853" s="176"/>
      <c r="B853" s="176"/>
      <c r="C853" s="1023"/>
      <c r="D853" s="1262"/>
      <c r="E853" s="1262"/>
      <c r="F853" s="1262"/>
      <c r="G853" s="3"/>
    </row>
    <row r="854" spans="1:9" ht="12.75" customHeight="1">
      <c r="A854" s="176"/>
      <c r="B854" s="176"/>
      <c r="C854" s="1023"/>
      <c r="D854" s="1262"/>
      <c r="E854" s="1262"/>
      <c r="F854" s="1262"/>
      <c r="G854" s="3"/>
    </row>
    <row r="855" spans="1:9" ht="12.75" customHeight="1">
      <c r="A855" s="172"/>
      <c r="B855" s="172"/>
      <c r="C855" s="172"/>
      <c r="D855" s="118"/>
      <c r="E855" s="3"/>
      <c r="F855" s="3"/>
      <c r="G855" s="3"/>
    </row>
    <row r="856" spans="1:9" ht="12.75" customHeight="1">
      <c r="A856" s="1017" t="s">
        <v>2034</v>
      </c>
      <c r="B856" s="1017"/>
      <c r="C856" s="1027"/>
      <c r="D856" s="1027"/>
      <c r="E856" s="1027"/>
      <c r="F856" s="1027"/>
      <c r="G856" s="1027"/>
      <c r="H856" s="1068"/>
      <c r="I856" s="1069"/>
    </row>
    <row r="857" spans="1:9" ht="12.75" customHeight="1">
      <c r="A857" s="172"/>
      <c r="B857" s="172"/>
      <c r="C857" s="172"/>
      <c r="D857" s="1028"/>
      <c r="E857" s="3"/>
      <c r="F857" s="3"/>
      <c r="G857" s="3"/>
    </row>
    <row r="858" spans="1:9" ht="12.75" customHeight="1">
      <c r="A858" s="386"/>
      <c r="B858" s="386"/>
      <c r="C858" s="175"/>
      <c r="D858" s="1281" t="s">
        <v>2068</v>
      </c>
      <c r="E858" s="1281"/>
      <c r="F858" s="1281"/>
      <c r="G858" s="1022"/>
    </row>
    <row r="859" spans="1:9" ht="12.75" customHeight="1">
      <c r="A859" s="386"/>
      <c r="B859" s="386"/>
      <c r="C859" s="175"/>
      <c r="D859" s="1340" t="s">
        <v>2035</v>
      </c>
      <c r="E859" s="1340"/>
      <c r="F859" s="1340"/>
      <c r="G859" s="1022"/>
    </row>
    <row r="860" spans="1:9" ht="12.75" customHeight="1">
      <c r="A860" s="386"/>
      <c r="B860" s="386"/>
      <c r="C860" s="175"/>
      <c r="D860" s="1029"/>
      <c r="E860" s="1029"/>
      <c r="F860" s="1029"/>
      <c r="G860" s="1022"/>
    </row>
    <row r="861" spans="1:9" ht="12.75" customHeight="1">
      <c r="A861" s="176"/>
      <c r="B861" s="520" t="s">
        <v>2779</v>
      </c>
      <c r="C861" s="386"/>
      <c r="D861" s="1282" t="s">
        <v>2036</v>
      </c>
      <c r="E861" s="1282"/>
      <c r="F861" s="1282"/>
      <c r="G861" s="1022"/>
      <c r="I861" s="436" t="s">
        <v>2204</v>
      </c>
    </row>
    <row r="862" spans="1:9" ht="12.75" customHeight="1">
      <c r="A862" s="386"/>
      <c r="B862" s="386"/>
      <c r="C862" s="386"/>
      <c r="D862" s="2" t="s">
        <v>2011</v>
      </c>
      <c r="E862" s="1077" t="s">
        <v>2276</v>
      </c>
      <c r="F862" s="1080"/>
      <c r="G862" s="1022"/>
    </row>
    <row r="863" spans="1:9" ht="12.75" customHeight="1">
      <c r="A863" s="386"/>
      <c r="B863" s="386"/>
      <c r="C863" s="386"/>
      <c r="D863" s="118"/>
      <c r="E863" s="1022"/>
      <c r="F863" s="1022"/>
      <c r="G863" s="1022"/>
    </row>
    <row r="864" spans="1:9" ht="12.75" customHeight="1">
      <c r="A864" s="176"/>
      <c r="B864" s="520" t="s">
        <v>2779</v>
      </c>
      <c r="C864" s="386"/>
      <c r="D864" s="1262" t="s">
        <v>2037</v>
      </c>
      <c r="E864" s="1311"/>
      <c r="F864" s="1311"/>
      <c r="G864" s="3"/>
      <c r="I864" s="436" t="s">
        <v>2222</v>
      </c>
    </row>
    <row r="865" spans="1:9" ht="12.75" customHeight="1">
      <c r="A865" s="386"/>
      <c r="B865" s="386"/>
      <c r="C865" s="386"/>
      <c r="D865" s="1311"/>
      <c r="E865" s="1311"/>
      <c r="F865" s="1311"/>
      <c r="G865" s="3"/>
    </row>
    <row r="866" spans="1:9" ht="12.75" customHeight="1">
      <c r="A866" s="386"/>
      <c r="B866" s="386"/>
      <c r="C866" s="386"/>
      <c r="D866" s="118"/>
      <c r="E866" s="3"/>
      <c r="F866" s="3"/>
      <c r="G866" s="3"/>
    </row>
    <row r="867" spans="1:9" ht="12.75" customHeight="1">
      <c r="A867" s="386"/>
      <c r="B867" s="520" t="s">
        <v>2780</v>
      </c>
      <c r="C867" s="386"/>
      <c r="D867" s="1342" t="s">
        <v>2038</v>
      </c>
      <c r="E867" s="1342"/>
      <c r="F867" s="1342"/>
      <c r="G867" s="1022"/>
    </row>
    <row r="868" spans="1:9" ht="12.75" customHeight="1">
      <c r="A868" s="386"/>
      <c r="B868" s="1030"/>
      <c r="C868" s="386"/>
      <c r="D868" s="1342"/>
      <c r="E868" s="1342"/>
      <c r="F868" s="1342"/>
      <c r="G868" s="1022"/>
    </row>
    <row r="869" spans="1:9" ht="12.75" customHeight="1">
      <c r="A869" s="176"/>
      <c r="B869"/>
      <c r="C869" s="386"/>
      <c r="D869" s="1262" t="s">
        <v>2463</v>
      </c>
      <c r="E869" s="1262"/>
      <c r="F869" s="1262"/>
      <c r="G869" s="1022"/>
    </row>
    <row r="870" spans="1:9" ht="12.75" customHeight="1">
      <c r="A870" s="176"/>
      <c r="B870" s="176"/>
      <c r="C870" s="386"/>
      <c r="D870" s="1262"/>
      <c r="E870" s="1262"/>
      <c r="F870" s="1262"/>
      <c r="G870" s="1022"/>
    </row>
    <row r="871" spans="1:9" ht="12.75" customHeight="1">
      <c r="A871" s="176"/>
      <c r="B871" s="176"/>
      <c r="C871" s="386"/>
      <c r="D871" s="1262"/>
      <c r="E871" s="1262"/>
      <c r="F871" s="1262"/>
      <c r="G871" s="1022"/>
    </row>
    <row r="872" spans="1:9" ht="12.75" customHeight="1">
      <c r="A872" s="176"/>
      <c r="B872" s="176"/>
      <c r="C872" s="386"/>
      <c r="D872" s="1262"/>
      <c r="E872" s="1262"/>
      <c r="F872" s="1262"/>
      <c r="G872" s="1022"/>
    </row>
    <row r="873" spans="1:9" ht="12.75" customHeight="1">
      <c r="A873" s="176"/>
      <c r="B873" s="176"/>
      <c r="C873" s="386"/>
      <c r="D873" s="1262"/>
      <c r="E873" s="1262"/>
      <c r="F873" s="1262"/>
      <c r="G873" s="1022"/>
    </row>
    <row r="874" spans="1:9" ht="12.75" customHeight="1">
      <c r="A874" s="176"/>
      <c r="B874" s="176"/>
      <c r="C874" s="386"/>
      <c r="D874" s="1262"/>
      <c r="E874" s="1262"/>
      <c r="F874" s="1262"/>
      <c r="G874" s="1022"/>
    </row>
    <row r="875" spans="1:9" ht="12.75" customHeight="1">
      <c r="A875" s="176"/>
      <c r="B875" s="176"/>
      <c r="C875" s="386"/>
      <c r="D875" s="118"/>
      <c r="E875" s="1022"/>
      <c r="F875" s="1022"/>
      <c r="G875" s="1022"/>
    </row>
    <row r="876" spans="1:9" ht="12.75" customHeight="1">
      <c r="A876" s="176"/>
      <c r="B876" s="520" t="s">
        <v>2780</v>
      </c>
      <c r="C876" s="386"/>
      <c r="D876" s="1286" t="s">
        <v>2031</v>
      </c>
      <c r="E876" s="1286"/>
      <c r="F876" s="1286"/>
      <c r="G876" s="1022"/>
      <c r="I876" s="436" t="s">
        <v>2204</v>
      </c>
    </row>
    <row r="877" spans="1:9" ht="12.75" customHeight="1">
      <c r="A877" s="176"/>
      <c r="B877" s="176"/>
      <c r="C877" s="386"/>
      <c r="D877" s="1286" t="s">
        <v>2032</v>
      </c>
      <c r="E877" s="1286"/>
      <c r="F877" s="1286"/>
      <c r="G877" s="1022"/>
    </row>
    <row r="878" spans="1:9" ht="12.75" customHeight="1">
      <c r="A878" s="176"/>
      <c r="B878" s="176"/>
      <c r="C878" s="386"/>
      <c r="D878" s="2" t="s">
        <v>1430</v>
      </c>
      <c r="E878" s="1077" t="s">
        <v>2276</v>
      </c>
      <c r="F878" s="1081"/>
      <c r="G878" s="1022"/>
    </row>
    <row r="879" spans="1:9" ht="12.75" customHeight="1">
      <c r="A879" s="176"/>
      <c r="B879" s="176"/>
      <c r="C879" s="386"/>
      <c r="D879" s="118"/>
      <c r="E879" s="1022"/>
      <c r="F879" s="1022"/>
      <c r="G879" s="1022"/>
    </row>
    <row r="880" spans="1:9" ht="12.75" customHeight="1">
      <c r="A880" s="176"/>
      <c r="B880" s="520" t="s">
        <v>2780</v>
      </c>
      <c r="C880" s="386"/>
      <c r="D880" s="1262" t="s">
        <v>2033</v>
      </c>
      <c r="E880" s="1262"/>
      <c r="F880" s="1262"/>
      <c r="G880" s="1022"/>
      <c r="I880" s="436" t="s">
        <v>2222</v>
      </c>
    </row>
    <row r="881" spans="1:9" ht="12.75" customHeight="1">
      <c r="A881" s="176"/>
      <c r="B881" s="176"/>
      <c r="C881" s="386"/>
      <c r="D881" s="1262"/>
      <c r="E881" s="1262"/>
      <c r="F881" s="1262"/>
      <c r="G881" s="1022"/>
    </row>
    <row r="882" spans="1:9" ht="12.75" customHeight="1">
      <c r="A882" s="176"/>
      <c r="B882" s="176"/>
      <c r="C882" s="386"/>
      <c r="D882" s="1262"/>
      <c r="E882" s="1262"/>
      <c r="F882" s="1262"/>
      <c r="G882" s="1022"/>
    </row>
    <row r="883" spans="1:9" ht="12.75" customHeight="1">
      <c r="A883" s="176"/>
      <c r="B883" s="176"/>
      <c r="C883" s="386"/>
      <c r="D883" s="1262"/>
      <c r="E883" s="1262"/>
      <c r="F883" s="1262"/>
      <c r="G883" s="1022"/>
    </row>
    <row r="884" spans="1:9" ht="12.75" customHeight="1">
      <c r="A884" s="118"/>
      <c r="B884" s="118"/>
      <c r="C884" s="1023"/>
      <c r="D884" s="1022"/>
      <c r="E884" s="1022"/>
      <c r="F884" s="1022"/>
      <c r="G884" s="1022"/>
    </row>
    <row r="885" spans="1:9" ht="12.75" customHeight="1">
      <c r="A885" s="1290" t="s">
        <v>2069</v>
      </c>
      <c r="B885" s="1290"/>
      <c r="C885" s="1290"/>
      <c r="D885" s="1290"/>
      <c r="E885" s="1290"/>
      <c r="F885" s="1290"/>
      <c r="G885" s="1290"/>
      <c r="H885" s="1068"/>
      <c r="I885" s="1069"/>
    </row>
    <row r="886" spans="1:9" ht="12.75" customHeight="1">
      <c r="A886" s="57"/>
      <c r="B886" s="57"/>
      <c r="C886" s="57"/>
      <c r="D886" s="57"/>
      <c r="E886" s="57"/>
      <c r="F886" s="57"/>
      <c r="G886" s="57"/>
    </row>
    <row r="887" spans="1:9" ht="12.75" customHeight="1">
      <c r="A887" s="57"/>
      <c r="B887" s="57"/>
      <c r="C887" s="57"/>
      <c r="D887" s="1296" t="s">
        <v>2075</v>
      </c>
      <c r="E887" s="1296"/>
      <c r="F887" s="1296"/>
      <c r="G887" s="57"/>
    </row>
    <row r="888" spans="1:9" ht="12.75" customHeight="1">
      <c r="A888" s="57"/>
      <c r="B888" s="57"/>
      <c r="C888" s="57"/>
      <c r="D888" s="1015"/>
      <c r="E888" s="1015"/>
      <c r="F888" s="1015"/>
      <c r="G888" s="57"/>
    </row>
    <row r="889" spans="1:9" ht="12.75" customHeight="1">
      <c r="A889" s="57"/>
      <c r="B889" s="520" t="s">
        <v>2780</v>
      </c>
      <c r="C889" s="57"/>
      <c r="D889" s="1018" t="s">
        <v>2076</v>
      </c>
      <c r="E889" s="1015"/>
      <c r="F889" s="1015"/>
      <c r="G889" s="57"/>
      <c r="I889" s="436" t="s">
        <v>2236</v>
      </c>
    </row>
    <row r="890" spans="1:9" ht="12.75" customHeight="1">
      <c r="A890" s="57"/>
      <c r="B890" s="57"/>
      <c r="C890" s="57"/>
      <c r="D890" s="1015"/>
      <c r="E890" s="1015"/>
      <c r="F890" s="1015"/>
      <c r="G890" s="57"/>
    </row>
    <row r="891" spans="1:9" ht="12.75" customHeight="1">
      <c r="A891" s="386"/>
      <c r="B891" s="386"/>
      <c r="C891" s="1023"/>
      <c r="D891" s="1296" t="s">
        <v>2070</v>
      </c>
      <c r="E891" s="1296"/>
      <c r="F891" s="1296"/>
      <c r="G891" s="1022"/>
    </row>
    <row r="892" spans="1:9" ht="12.75" customHeight="1">
      <c r="A892" s="172"/>
      <c r="B892" s="172"/>
      <c r="C892" s="172"/>
      <c r="D892" s="1282" t="s">
        <v>2039</v>
      </c>
      <c r="E892" s="1282"/>
      <c r="F892" s="1282"/>
      <c r="G892" s="1022"/>
    </row>
    <row r="893" spans="1:9" ht="12.75" customHeight="1">
      <c r="A893" s="1023"/>
      <c r="B893" s="1023"/>
      <c r="C893" s="1023"/>
      <c r="D893" s="2"/>
      <c r="E893" s="1022"/>
      <c r="F893" s="1022"/>
      <c r="G893" s="1022"/>
    </row>
    <row r="894" spans="1:9" ht="12.75" customHeight="1">
      <c r="A894" s="176"/>
      <c r="B894" s="520" t="s">
        <v>2779</v>
      </c>
      <c r="C894" s="386"/>
      <c r="D894" s="1262" t="s">
        <v>2043</v>
      </c>
      <c r="E894" s="1262"/>
      <c r="F894" s="1262"/>
      <c r="G894" s="3"/>
      <c r="I894" s="436" t="s">
        <v>2188</v>
      </c>
    </row>
    <row r="895" spans="1:9" ht="12.75" customHeight="1">
      <c r="A895" s="386"/>
      <c r="B895" s="386"/>
      <c r="C895" s="386"/>
      <c r="D895" s="1262"/>
      <c r="E895" s="1262"/>
      <c r="F895" s="1262"/>
      <c r="G895" s="3"/>
    </row>
    <row r="896" spans="1:9" ht="12.75" customHeight="1">
      <c r="A896" s="172"/>
      <c r="B896" s="172"/>
      <c r="C896" s="172"/>
      <c r="D896" s="1262" t="s">
        <v>2042</v>
      </c>
      <c r="E896" s="1262"/>
      <c r="F896" s="1262"/>
      <c r="G896" s="1022"/>
    </row>
    <row r="897" spans="1:9" ht="12.75" customHeight="1">
      <c r="A897" s="172"/>
      <c r="B897" s="172"/>
      <c r="C897" s="172"/>
      <c r="D897" s="1262"/>
      <c r="E897" s="1262"/>
      <c r="F897" s="1262"/>
      <c r="G897" s="1022"/>
    </row>
    <row r="898" spans="1:9" ht="12.75" customHeight="1">
      <c r="A898" s="172"/>
      <c r="B898" s="172"/>
      <c r="C898" s="172"/>
      <c r="D898" s="3"/>
      <c r="E898" s="3"/>
      <c r="F898" s="1022"/>
      <c r="G898" s="1022"/>
    </row>
    <row r="899" spans="1:9" ht="12.75" customHeight="1">
      <c r="A899" s="176"/>
      <c r="B899" s="520" t="s">
        <v>2779</v>
      </c>
      <c r="C899" s="175"/>
      <c r="D899" s="1266" t="s">
        <v>2040</v>
      </c>
      <c r="E899" s="1266"/>
      <c r="F899" s="1266"/>
      <c r="G899" s="1022"/>
      <c r="I899" s="436" t="s">
        <v>2187</v>
      </c>
    </row>
    <row r="900" spans="1:9" ht="12.75" customHeight="1">
      <c r="A900" s="176"/>
      <c r="B900" s="176"/>
      <c r="C900" s="175"/>
      <c r="D900" s="1266"/>
      <c r="E900" s="1266"/>
      <c r="F900" s="1266"/>
      <c r="G900" s="1022"/>
    </row>
    <row r="901" spans="1:9" ht="12.75" customHeight="1">
      <c r="A901" s="176"/>
      <c r="B901" s="176"/>
      <c r="C901" s="175"/>
      <c r="D901" s="1266"/>
      <c r="E901" s="1266"/>
      <c r="F901" s="1266"/>
      <c r="G901" s="1022"/>
    </row>
    <row r="902" spans="1:9" ht="12.75" customHeight="1">
      <c r="A902" s="176"/>
      <c r="B902" s="176"/>
      <c r="C902" s="175"/>
      <c r="D902" s="1266"/>
      <c r="E902" s="1266"/>
      <c r="F902" s="1266"/>
      <c r="G902" s="1022"/>
    </row>
    <row r="903" spans="1:9" ht="12.75" customHeight="1">
      <c r="A903" s="176"/>
      <c r="B903" s="176"/>
      <c r="C903" s="175"/>
      <c r="D903" s="1266"/>
      <c r="E903" s="1266"/>
      <c r="F903" s="1266"/>
      <c r="G903" s="1022"/>
    </row>
    <row r="904" spans="1:9" ht="12.75" customHeight="1">
      <c r="A904" s="175"/>
      <c r="B904" s="175"/>
      <c r="C904" s="175"/>
      <c r="D904" s="1266"/>
      <c r="E904" s="1266"/>
      <c r="F904" s="1266"/>
      <c r="G904" s="1022"/>
    </row>
    <row r="905" spans="1:9" ht="12.75" customHeight="1">
      <c r="A905" s="175"/>
      <c r="B905" s="175"/>
      <c r="C905" s="175"/>
      <c r="D905" s="1266"/>
      <c r="E905" s="1266"/>
      <c r="F905" s="1266"/>
      <c r="G905" s="1022"/>
    </row>
    <row r="906" spans="1:9" ht="12.75" customHeight="1">
      <c r="A906" s="175"/>
      <c r="B906" s="175"/>
      <c r="C906" s="175"/>
      <c r="D906" s="1266"/>
      <c r="E906" s="1266"/>
      <c r="F906" s="1266"/>
      <c r="G906" s="1022"/>
    </row>
    <row r="907" spans="1:9" ht="12.75" customHeight="1">
      <c r="A907" s="175"/>
      <c r="B907" s="175"/>
      <c r="C907" s="175"/>
      <c r="D907" s="364"/>
      <c r="E907" s="364"/>
      <c r="F907" s="364"/>
      <c r="G907" s="1022"/>
    </row>
    <row r="908" spans="1:9" ht="12.75" customHeight="1">
      <c r="A908" s="1023"/>
      <c r="B908" s="520" t="s">
        <v>2780</v>
      </c>
      <c r="C908" s="1023"/>
      <c r="D908" s="1262" t="s">
        <v>2044</v>
      </c>
      <c r="E908" s="1262"/>
      <c r="F908" s="1262"/>
      <c r="G908" s="1022"/>
    </row>
    <row r="909" spans="1:9" ht="12.75" customHeight="1">
      <c r="A909" s="1023"/>
      <c r="B909" s="1023"/>
      <c r="C909" s="1023"/>
      <c r="D909" s="1262"/>
      <c r="E909" s="1262"/>
      <c r="F909" s="1262"/>
      <c r="G909" s="1022"/>
    </row>
    <row r="910" spans="1:9" ht="12.75" customHeight="1">
      <c r="A910" s="1023"/>
      <c r="B910" s="1023"/>
      <c r="C910" s="1023"/>
      <c r="D910" s="1022"/>
      <c r="E910" s="1022"/>
      <c r="F910" s="1022"/>
      <c r="G910" s="1022"/>
    </row>
    <row r="911" spans="1:9" ht="12.75" customHeight="1">
      <c r="A911" s="1023"/>
      <c r="B911" s="520" t="s">
        <v>2780</v>
      </c>
      <c r="C911" s="1023"/>
      <c r="D911" s="1303" t="s">
        <v>2045</v>
      </c>
      <c r="E911" s="1303"/>
      <c r="F911" s="1303"/>
      <c r="G911" s="1022"/>
    </row>
    <row r="912" spans="1:9" ht="12.75" customHeight="1">
      <c r="A912" s="1023"/>
      <c r="B912" s="1023"/>
      <c r="C912" s="1023"/>
      <c r="D912" s="1303"/>
      <c r="E912" s="1303"/>
      <c r="F912" s="1303"/>
      <c r="G912" s="1022"/>
    </row>
    <row r="913" spans="1:9" ht="12.75" customHeight="1">
      <c r="A913" s="1023"/>
      <c r="B913" s="1023"/>
      <c r="C913" s="1023"/>
      <c r="D913" s="1303"/>
      <c r="E913" s="1303"/>
      <c r="F913" s="1303"/>
      <c r="G913" s="1022"/>
    </row>
    <row r="914" spans="1:9" ht="12.75" customHeight="1">
      <c r="A914" s="1023"/>
      <c r="B914" s="1023"/>
      <c r="C914" s="1023"/>
      <c r="D914" s="1303"/>
      <c r="E914" s="1303"/>
      <c r="F914" s="1303"/>
      <c r="G914" s="1022"/>
    </row>
    <row r="915" spans="1:9" ht="12.75" customHeight="1">
      <c r="A915" s="1023"/>
      <c r="B915" s="1023"/>
      <c r="C915" s="1023"/>
      <c r="D915" s="118"/>
      <c r="E915" s="1022"/>
      <c r="F915" s="1022"/>
      <c r="G915" s="1022"/>
    </row>
    <row r="916" spans="1:9" ht="12.75" customHeight="1">
      <c r="A916" s="1023"/>
      <c r="B916" s="520" t="s">
        <v>2780</v>
      </c>
      <c r="C916" s="1023"/>
      <c r="D916" s="1282" t="s">
        <v>2464</v>
      </c>
      <c r="E916" s="1282"/>
      <c r="F916" s="1282"/>
      <c r="G916" s="1022"/>
    </row>
    <row r="917" spans="1:9" ht="12.75" customHeight="1">
      <c r="A917" s="1023"/>
      <c r="B917" s="1023"/>
      <c r="C917" s="1023"/>
      <c r="D917" s="118"/>
      <c r="E917" s="1022"/>
      <c r="F917" s="1022"/>
      <c r="G917" s="1022"/>
    </row>
    <row r="918" spans="1:9" ht="12.75" customHeight="1">
      <c r="A918" s="1023"/>
      <c r="B918" s="520" t="s">
        <v>2780</v>
      </c>
      <c r="C918" s="1023"/>
      <c r="D918" s="1282" t="s">
        <v>2465</v>
      </c>
      <c r="E918" s="1282"/>
      <c r="F918" s="1282"/>
      <c r="G918" s="1022"/>
    </row>
    <row r="919" spans="1:9" ht="12.75" customHeight="1">
      <c r="A919" s="175"/>
      <c r="B919" s="175"/>
      <c r="C919" s="175"/>
      <c r="D919" s="2"/>
      <c r="E919" s="3"/>
      <c r="F919" s="1022"/>
      <c r="G919" s="1022"/>
    </row>
    <row r="920" spans="1:9" ht="12.75" customHeight="1">
      <c r="A920" s="1031"/>
      <c r="B920" s="520" t="s">
        <v>2779</v>
      </c>
      <c r="C920" s="1032"/>
      <c r="D920" s="1266" t="s">
        <v>2041</v>
      </c>
      <c r="E920" s="1266"/>
      <c r="F920" s="1266"/>
      <c r="G920" s="1033"/>
      <c r="I920" s="436" t="s">
        <v>2237</v>
      </c>
    </row>
    <row r="921" spans="1:9" ht="12.75" customHeight="1">
      <c r="A921" s="1031"/>
      <c r="B921" s="1031"/>
      <c r="C921" s="1032"/>
      <c r="D921" s="1266"/>
      <c r="E921" s="1266"/>
      <c r="F921" s="1266"/>
      <c r="G921" s="1033"/>
    </row>
    <row r="922" spans="1:9" ht="12.75" customHeight="1">
      <c r="A922" s="1031"/>
      <c r="B922" s="1031"/>
      <c r="C922" s="1032"/>
      <c r="D922" s="1266"/>
      <c r="E922" s="1266"/>
      <c r="F922" s="1266"/>
      <c r="G922" s="1033"/>
    </row>
    <row r="923" spans="1:9" ht="12.75" customHeight="1">
      <c r="A923" s="1031"/>
      <c r="B923" s="1031"/>
      <c r="C923" s="1032"/>
      <c r="D923" s="1266"/>
      <c r="E923" s="1266"/>
      <c r="F923" s="1266"/>
      <c r="G923" s="1033"/>
    </row>
    <row r="924" spans="1:9" ht="12.75" customHeight="1">
      <c r="A924" s="1031"/>
      <c r="B924" s="1031"/>
      <c r="C924" s="1032"/>
      <c r="D924" s="1266"/>
      <c r="E924" s="1266"/>
      <c r="F924" s="1266"/>
      <c r="G924" s="1033"/>
    </row>
    <row r="925" spans="1:9" ht="12.75" customHeight="1">
      <c r="A925" s="1031"/>
      <c r="B925" s="1031"/>
      <c r="C925" s="1032"/>
      <c r="D925" s="1266"/>
      <c r="E925" s="1266"/>
      <c r="F925" s="1266"/>
      <c r="G925" s="1033"/>
    </row>
    <row r="926" spans="1:9" ht="12.75" customHeight="1">
      <c r="A926" s="1031"/>
      <c r="B926" s="1031"/>
      <c r="C926" s="1032"/>
      <c r="D926" s="1266"/>
      <c r="E926" s="1266"/>
      <c r="F926" s="1266"/>
      <c r="G926" s="1033"/>
    </row>
    <row r="927" spans="1:9" ht="12.75" customHeight="1">
      <c r="A927" s="1031"/>
      <c r="B927" s="1031"/>
      <c r="C927" s="1032"/>
      <c r="D927" s="1266"/>
      <c r="E927" s="1266"/>
      <c r="F927" s="1266"/>
      <c r="G927" s="1033"/>
    </row>
    <row r="928" spans="1:9" ht="12.75" customHeight="1">
      <c r="A928" s="1031"/>
      <c r="B928" s="1031"/>
      <c r="C928" s="1032"/>
      <c r="D928" s="1266"/>
      <c r="E928" s="1266"/>
      <c r="F928" s="1266"/>
      <c r="G928" s="1033"/>
    </row>
    <row r="929" spans="1:9" ht="12.75" customHeight="1">
      <c r="A929" s="175"/>
      <c r="B929" s="175"/>
      <c r="C929" s="175"/>
      <c r="D929" s="2"/>
      <c r="E929" s="3"/>
      <c r="F929" s="1022"/>
      <c r="G929" s="1022"/>
    </row>
    <row r="930" spans="1:9" ht="12.75" customHeight="1">
      <c r="A930" s="176"/>
      <c r="B930" s="520" t="s">
        <v>2779</v>
      </c>
      <c r="C930" s="175"/>
      <c r="D930" s="1343" t="s">
        <v>2239</v>
      </c>
      <c r="E930" s="1343"/>
      <c r="F930" s="1343"/>
      <c r="G930" s="1022"/>
      <c r="I930" s="436" t="s">
        <v>2237</v>
      </c>
    </row>
    <row r="931" spans="1:9" ht="12.75" customHeight="1">
      <c r="A931" s="176"/>
      <c r="B931" s="176"/>
      <c r="C931" s="175"/>
      <c r="D931" s="1343"/>
      <c r="E931" s="1343"/>
      <c r="F931" s="1343"/>
      <c r="G931" s="1022"/>
    </row>
    <row r="932" spans="1:9" ht="12.75" customHeight="1">
      <c r="A932" s="176"/>
      <c r="B932" s="176"/>
      <c r="C932" s="175"/>
      <c r="D932" s="1343"/>
      <c r="E932" s="1343"/>
      <c r="F932" s="1343"/>
      <c r="G932" s="1022"/>
    </row>
    <row r="933" spans="1:9" ht="12.75" customHeight="1">
      <c r="A933" s="176"/>
      <c r="B933" s="176"/>
      <c r="C933" s="175"/>
      <c r="D933" s="1343"/>
      <c r="E933" s="1343"/>
      <c r="F933" s="1343"/>
      <c r="G933" s="1022"/>
    </row>
    <row r="934" spans="1:9" ht="12.75" customHeight="1">
      <c r="A934" s="176"/>
      <c r="B934" s="176"/>
      <c r="C934" s="175"/>
      <c r="D934" s="1343"/>
      <c r="E934" s="1343"/>
      <c r="F934" s="1343"/>
      <c r="G934" s="1022"/>
    </row>
    <row r="935" spans="1:9" ht="12.75" customHeight="1">
      <c r="A935" s="176"/>
      <c r="B935" s="176"/>
      <c r="C935" s="175"/>
      <c r="D935" s="1343"/>
      <c r="E935" s="1343"/>
      <c r="F935" s="1343"/>
      <c r="G935" s="1022"/>
    </row>
    <row r="936" spans="1:9" ht="12.75" customHeight="1">
      <c r="A936" s="176"/>
      <c r="B936" s="176"/>
      <c r="C936" s="175"/>
      <c r="D936" s="1343"/>
      <c r="E936" s="1343"/>
      <c r="F936" s="1343"/>
      <c r="G936" s="1022"/>
    </row>
    <row r="937" spans="1:9" ht="12.75" customHeight="1">
      <c r="A937" s="176"/>
      <c r="B937" s="176"/>
      <c r="C937" s="175"/>
      <c r="D937" s="1064"/>
      <c r="E937" s="1064"/>
      <c r="F937" s="1064"/>
      <c r="G937" s="1022"/>
    </row>
    <row r="938" spans="1:9" ht="12.75" customHeight="1">
      <c r="A938" s="176"/>
      <c r="B938" s="520" t="s">
        <v>2779</v>
      </c>
      <c r="C938" s="175"/>
      <c r="D938" s="1265" t="s">
        <v>2558</v>
      </c>
      <c r="E938" s="1265"/>
      <c r="F938" s="1265"/>
      <c r="G938" s="1022"/>
    </row>
    <row r="939" spans="1:9" ht="12.75" customHeight="1">
      <c r="A939" s="176"/>
      <c r="B939" s="176"/>
      <c r="C939" s="175"/>
      <c r="D939" s="1265"/>
      <c r="E939" s="1265"/>
      <c r="F939" s="1265"/>
      <c r="G939" s="1022"/>
    </row>
    <row r="940" spans="1:9" ht="12.75" customHeight="1">
      <c r="A940" s="176"/>
      <c r="B940" s="176"/>
      <c r="C940" s="175"/>
      <c r="D940" s="1265"/>
      <c r="E940" s="1265"/>
      <c r="F940" s="1265"/>
      <c r="G940" s="1022"/>
    </row>
    <row r="941" spans="1:9" ht="12.75" customHeight="1">
      <c r="A941" s="176"/>
      <c r="B941" s="176"/>
      <c r="C941" s="175"/>
      <c r="D941" s="1265"/>
      <c r="E941" s="1265"/>
      <c r="F941" s="1265"/>
      <c r="G941" s="1022"/>
    </row>
    <row r="942" spans="1:9" ht="12.75" customHeight="1">
      <c r="A942" s="176"/>
      <c r="B942" s="176"/>
      <c r="C942" s="175"/>
      <c r="D942" s="1265"/>
      <c r="E942" s="1265"/>
      <c r="F942" s="1265"/>
      <c r="G942" s="1022"/>
    </row>
    <row r="943" spans="1:9" ht="12.75" customHeight="1">
      <c r="A943" s="176"/>
      <c r="B943" s="176"/>
      <c r="C943" s="175"/>
      <c r="D943" s="1265"/>
      <c r="E943" s="1265"/>
      <c r="F943" s="1265"/>
      <c r="G943" s="1022"/>
    </row>
    <row r="944" spans="1:9" ht="12.75" customHeight="1">
      <c r="A944" s="176"/>
      <c r="B944" s="176"/>
      <c r="C944" s="175"/>
      <c r="D944" s="1064"/>
      <c r="E944" s="1064"/>
      <c r="F944" s="1064"/>
      <c r="G944" s="1022"/>
    </row>
    <row r="945" spans="1:9" ht="12.75" customHeight="1">
      <c r="A945" s="1023"/>
      <c r="B945" s="520" t="s">
        <v>2780</v>
      </c>
      <c r="C945" s="1023"/>
      <c r="D945" s="1303" t="s">
        <v>2046</v>
      </c>
      <c r="E945" s="1303"/>
      <c r="F945" s="1303"/>
      <c r="G945" s="1022"/>
    </row>
    <row r="946" spans="1:9" ht="12.75" customHeight="1">
      <c r="A946" s="1023"/>
      <c r="B946" s="1023"/>
      <c r="C946" s="1023"/>
      <c r="D946" s="1303"/>
      <c r="E946" s="1303"/>
      <c r="F946" s="1303"/>
      <c r="G946" s="1022"/>
    </row>
    <row r="947" spans="1:9" ht="12.75" customHeight="1">
      <c r="A947" s="1023"/>
      <c r="B947" s="1023"/>
      <c r="C947" s="1023"/>
      <c r="D947" s="1303"/>
      <c r="E947" s="1303"/>
      <c r="F947" s="1303"/>
      <c r="G947" s="1022"/>
    </row>
    <row r="948" spans="1:9" ht="12.75" customHeight="1">
      <c r="A948" s="176"/>
      <c r="B948" s="176"/>
      <c r="C948" s="175"/>
      <c r="D948" s="1064"/>
      <c r="E948" s="1064"/>
      <c r="F948" s="1064"/>
      <c r="G948" s="1022"/>
    </row>
    <row r="949" spans="1:9" ht="12.75" customHeight="1">
      <c r="A949" s="176"/>
      <c r="B949" s="176"/>
      <c r="C949" s="175"/>
      <c r="D949" s="880"/>
      <c r="E949" s="3"/>
      <c r="F949" s="1022"/>
      <c r="G949" s="1022"/>
    </row>
    <row r="950" spans="1:9" ht="12.75" customHeight="1">
      <c r="A950" s="176"/>
      <c r="B950" s="520" t="s">
        <v>2780</v>
      </c>
      <c r="C950" s="175"/>
      <c r="D950" s="1266" t="s">
        <v>2238</v>
      </c>
      <c r="E950" s="1266"/>
      <c r="F950" s="1266"/>
      <c r="G950" s="1022"/>
      <c r="I950" s="436" t="s">
        <v>2237</v>
      </c>
    </row>
    <row r="951" spans="1:9" ht="12.75" customHeight="1">
      <c r="A951" s="176"/>
      <c r="B951" s="176"/>
      <c r="C951" s="175"/>
      <c r="D951" s="1266"/>
      <c r="E951" s="1266"/>
      <c r="F951" s="1266"/>
      <c r="G951" s="1022"/>
    </row>
    <row r="952" spans="1:9" ht="12.75" customHeight="1">
      <c r="A952" s="176"/>
      <c r="B952" s="176"/>
      <c r="C952" s="175"/>
      <c r="D952" s="1266"/>
      <c r="E952" s="1266"/>
      <c r="F952" s="1266"/>
      <c r="G952" s="1022"/>
    </row>
    <row r="953" spans="1:9" ht="12.75" customHeight="1">
      <c r="A953" s="176"/>
      <c r="B953" s="176"/>
      <c r="C953" s="175"/>
      <c r="D953" s="1266"/>
      <c r="E953" s="1266"/>
      <c r="F953" s="1266"/>
      <c r="G953" s="1022"/>
    </row>
    <row r="954" spans="1:9" ht="12.75" customHeight="1">
      <c r="A954" s="1023"/>
      <c r="B954" s="1023"/>
      <c r="C954" s="1023"/>
      <c r="D954" s="1014"/>
      <c r="E954" s="1014"/>
      <c r="F954" s="1014"/>
      <c r="G954" s="1014"/>
    </row>
    <row r="955" spans="1:9" ht="12.75" customHeight="1">
      <c r="A955" s="386"/>
      <c r="B955" s="386"/>
      <c r="C955" s="386"/>
      <c r="D955" s="1281" t="s">
        <v>2047</v>
      </c>
      <c r="E955" s="1281"/>
      <c r="F955" s="1281"/>
      <c r="G955" s="3"/>
    </row>
    <row r="956" spans="1:9" ht="12.75" customHeight="1">
      <c r="A956" s="176"/>
      <c r="B956" s="520" t="s">
        <v>2780</v>
      </c>
      <c r="C956" s="386"/>
      <c r="D956" s="1282" t="s">
        <v>2071</v>
      </c>
      <c r="E956" s="1282"/>
      <c r="F956" s="1282"/>
      <c r="G956" s="3"/>
      <c r="I956" s="436" t="s">
        <v>2237</v>
      </c>
    </row>
    <row r="957" spans="1:9" ht="12.75" customHeight="1">
      <c r="A957" s="386"/>
      <c r="B957" s="386"/>
      <c r="C957" s="386"/>
      <c r="D957" s="3"/>
      <c r="E957" s="3"/>
      <c r="F957" s="3"/>
      <c r="G957" s="3"/>
    </row>
    <row r="958" spans="1:9" ht="12.75" customHeight="1">
      <c r="A958" s="386"/>
      <c r="B958" s="386"/>
      <c r="C958" s="386"/>
      <c r="D958" s="1281" t="s">
        <v>2048</v>
      </c>
      <c r="E958" s="1281"/>
      <c r="F958" s="1281"/>
      <c r="G958"/>
    </row>
    <row r="959" spans="1:9" ht="12.75" customHeight="1">
      <c r="A959" s="176"/>
      <c r="B959" s="520" t="s">
        <v>2780</v>
      </c>
      <c r="C959" s="386"/>
      <c r="D959" s="1262" t="s">
        <v>2466</v>
      </c>
      <c r="E959" s="1262"/>
      <c r="F959" s="1262"/>
      <c r="G959"/>
      <c r="I959" s="436" t="s">
        <v>2237</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290" t="s">
        <v>2049</v>
      </c>
      <c r="B975" s="1290"/>
      <c r="C975" s="1290"/>
      <c r="D975" s="1290"/>
      <c r="E975" s="1290"/>
      <c r="F975" s="1290"/>
      <c r="G975" s="1290"/>
      <c r="H975" s="1068"/>
      <c r="I975" s="1069"/>
    </row>
    <row r="976" spans="1:9" ht="12.75" customHeight="1">
      <c r="A976" s="118"/>
      <c r="B976" s="118"/>
      <c r="C976" s="386"/>
      <c r="D976" s="3"/>
      <c r="E976" s="3"/>
      <c r="F976" s="3"/>
      <c r="G976" s="3"/>
    </row>
    <row r="977" spans="1:9" ht="12.75" customHeight="1">
      <c r="A977" s="386"/>
      <c r="B977" s="386"/>
      <c r="C977" s="1023"/>
      <c r="D977" s="1281" t="s">
        <v>2072</v>
      </c>
      <c r="E977" s="1281"/>
      <c r="F977" s="1281"/>
      <c r="G977" s="3"/>
    </row>
    <row r="978" spans="1:9" ht="12.75" customHeight="1">
      <c r="A978" s="172"/>
      <c r="B978" s="172"/>
      <c r="C978" s="172"/>
      <c r="D978" s="1282" t="s">
        <v>2050</v>
      </c>
      <c r="E978" s="1282"/>
      <c r="F978" s="1282"/>
      <c r="G978" s="3"/>
    </row>
    <row r="979" spans="1:9" ht="12.75" customHeight="1">
      <c r="A979" s="172"/>
      <c r="B979" s="172"/>
      <c r="C979" s="172"/>
      <c r="D979" s="3"/>
      <c r="E979" s="3"/>
      <c r="F979" s="1022"/>
      <c r="G979"/>
    </row>
    <row r="980" spans="1:9" ht="12.75" customHeight="1">
      <c r="A980" s="386"/>
      <c r="B980" s="520" t="s">
        <v>2779</v>
      </c>
      <c r="C980" s="386"/>
      <c r="D980" s="1345" t="s">
        <v>2294</v>
      </c>
      <c r="E980" s="1345"/>
      <c r="F980" s="1345"/>
      <c r="G980"/>
      <c r="I980" s="436" t="s">
        <v>2217</v>
      </c>
    </row>
    <row r="981" spans="1:9" ht="12.75" customHeight="1">
      <c r="A981" s="386"/>
      <c r="B981" s="386"/>
      <c r="C981" s="386"/>
      <c r="D981" s="1345"/>
      <c r="E981" s="1345"/>
      <c r="F981" s="1345"/>
      <c r="G981"/>
    </row>
    <row r="982" spans="1:9" ht="12.75" customHeight="1">
      <c r="A982" s="386"/>
      <c r="B982" s="386"/>
      <c r="C982" s="386"/>
      <c r="D982" s="1079"/>
      <c r="E982" s="1077" t="s">
        <v>2295</v>
      </c>
      <c r="F982" s="1079"/>
      <c r="G982"/>
    </row>
    <row r="983" spans="1:9" ht="12.75" customHeight="1">
      <c r="A983" s="386"/>
      <c r="B983" s="386"/>
      <c r="C983" s="386"/>
      <c r="D983" s="1268" t="s">
        <v>2293</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2780</v>
      </c>
      <c r="C988" s="175"/>
      <c r="D988" s="1262" t="s">
        <v>2051</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2780</v>
      </c>
      <c r="C993" s="175"/>
      <c r="D993" s="1262" t="s">
        <v>2052</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2780</v>
      </c>
      <c r="C996" s="386"/>
      <c r="D996" s="1282" t="s">
        <v>2053</v>
      </c>
      <c r="E996" s="1282"/>
      <c r="F996" s="1282"/>
      <c r="G996"/>
    </row>
    <row r="997" spans="1:7" ht="12.75" customHeight="1">
      <c r="A997" s="386"/>
      <c r="B997" s="386"/>
      <c r="C997" s="386"/>
      <c r="D997" s="3"/>
      <c r="E997" s="3"/>
      <c r="F997" s="3"/>
      <c r="G997"/>
    </row>
    <row r="998" spans="1:7" ht="12.75" customHeight="1">
      <c r="A998" s="176"/>
      <c r="B998" s="520" t="s">
        <v>2780</v>
      </c>
      <c r="C998" s="386"/>
      <c r="D998" s="1282" t="s">
        <v>2054</v>
      </c>
      <c r="E998" s="1282"/>
      <c r="F998" s="1282"/>
      <c r="G998"/>
    </row>
    <row r="999" spans="1:7" ht="12.75" customHeight="1">
      <c r="A999" s="386"/>
      <c r="B999" s="386"/>
      <c r="C999" s="386"/>
      <c r="D999" s="118"/>
      <c r="E999" s="3"/>
      <c r="F999" s="3"/>
      <c r="G999"/>
    </row>
    <row r="1000" spans="1:7" ht="12.75" customHeight="1">
      <c r="A1000" s="176"/>
      <c r="B1000" s="520" t="s">
        <v>2779</v>
      </c>
      <c r="C1000" s="386"/>
      <c r="D1000" s="1282" t="s">
        <v>2055</v>
      </c>
      <c r="E1000" s="1282"/>
      <c r="F1000" s="1282"/>
      <c r="G1000"/>
    </row>
    <row r="1001" spans="1:7" ht="12.75" customHeight="1">
      <c r="A1001" s="386"/>
      <c r="B1001" s="386"/>
      <c r="C1001" s="386"/>
      <c r="D1001" s="118"/>
      <c r="E1001" s="3"/>
      <c r="F1001" s="3"/>
      <c r="G1001"/>
    </row>
    <row r="1002" spans="1:7" ht="12.75" customHeight="1">
      <c r="A1002" s="176"/>
      <c r="B1002" s="520" t="s">
        <v>2779</v>
      </c>
      <c r="C1002" s="386"/>
      <c r="D1002" s="1262" t="s">
        <v>2056</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2780</v>
      </c>
      <c r="C1005" s="1034"/>
      <c r="D1005" s="1295" t="s">
        <v>2057</v>
      </c>
      <c r="E1005" s="1295"/>
      <c r="F1005" s="1295"/>
      <c r="G1005" s="1035"/>
    </row>
    <row r="1006" spans="1:7" ht="12.75" customHeight="1">
      <c r="A1006" s="1034"/>
      <c r="B1006" s="1034"/>
      <c r="C1006" s="1034"/>
      <c r="D1006" s="1295"/>
      <c r="E1006" s="1295"/>
      <c r="F1006" s="1295"/>
      <c r="G1006" s="1035"/>
    </row>
    <row r="1007" spans="1:7" ht="12.75" customHeight="1">
      <c r="A1007" s="1034"/>
      <c r="B1007" s="1034"/>
      <c r="C1007" s="1034"/>
      <c r="D1007" s="1018"/>
      <c r="E1007" s="1035"/>
      <c r="F1007" s="1035"/>
      <c r="G1007" s="1035"/>
    </row>
    <row r="1008" spans="1:7" ht="12.75" customHeight="1">
      <c r="A1008" s="272"/>
      <c r="B1008" s="520" t="s">
        <v>2780</v>
      </c>
      <c r="C1008" s="1034"/>
      <c r="D1008" s="1344" t="s">
        <v>2058</v>
      </c>
      <c r="E1008" s="1344"/>
      <c r="F1008" s="1344"/>
      <c r="G1008" s="1035"/>
    </row>
    <row r="1009" spans="1:9" ht="12.75" customHeight="1">
      <c r="A1009" s="1034"/>
      <c r="B1009" s="1034"/>
      <c r="C1009" s="1034"/>
      <c r="D1009" s="1018"/>
      <c r="E1009" s="1035"/>
      <c r="F1009" s="1035"/>
      <c r="G1009" s="1035"/>
    </row>
    <row r="1010" spans="1:9" ht="12.75" customHeight="1">
      <c r="A1010" s="176"/>
      <c r="B1010" s="520" t="s">
        <v>2780</v>
      </c>
      <c r="C1010" s="386"/>
      <c r="D1010" s="1282" t="s">
        <v>2059</v>
      </c>
      <c r="E1010" s="1282"/>
      <c r="F1010" s="1282"/>
      <c r="G1010" s="3"/>
    </row>
    <row r="1011" spans="1:9" ht="12.75" customHeight="1">
      <c r="A1011" s="176"/>
      <c r="B1011" s="176"/>
      <c r="C1011" s="386"/>
      <c r="D1011" s="118"/>
      <c r="E1011" s="3"/>
      <c r="F1011" s="3"/>
      <c r="G1011" s="3"/>
    </row>
    <row r="1012" spans="1:9" ht="12.75" customHeight="1">
      <c r="A1012" s="176"/>
      <c r="B1012" s="520" t="s">
        <v>2780</v>
      </c>
      <c r="C1012" s="386"/>
      <c r="D1012" s="1262" t="s">
        <v>2060</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290" t="s">
        <v>2061</v>
      </c>
      <c r="B1015" s="1290"/>
      <c r="C1015" s="1290"/>
      <c r="D1015" s="1290"/>
      <c r="E1015" s="1290"/>
      <c r="F1015" s="1290"/>
      <c r="G1015" s="1290"/>
      <c r="H1015" s="1068"/>
      <c r="I1015" s="1069"/>
    </row>
    <row r="1016" spans="1:9" ht="12.75" customHeight="1">
      <c r="A1016" s="386"/>
      <c r="B1016" s="386"/>
      <c r="C1016" s="386"/>
      <c r="D1016" s="3"/>
      <c r="E1016" s="3"/>
      <c r="F1016" s="3"/>
      <c r="G1016" s="3"/>
    </row>
    <row r="1017" spans="1:9" ht="12.75" customHeight="1">
      <c r="A1017" s="386"/>
      <c r="B1017" s="386"/>
      <c r="C1017" s="386"/>
      <c r="D1017" s="1296" t="s">
        <v>2062</v>
      </c>
      <c r="E1017" s="1296"/>
      <c r="F1017" s="1296"/>
      <c r="G1017" s="3"/>
    </row>
    <row r="1018" spans="1:9" ht="12.75" customHeight="1">
      <c r="A1018" s="386"/>
      <c r="B1018" s="386"/>
      <c r="C1018" s="386"/>
      <c r="D1018" s="1344" t="s">
        <v>2063</v>
      </c>
      <c r="E1018" s="1344"/>
      <c r="F1018" s="1344"/>
      <c r="G1018" s="3"/>
    </row>
    <row r="1019" spans="1:9" ht="12.75" customHeight="1">
      <c r="A1019" s="172"/>
      <c r="B1019" s="172"/>
      <c r="C1019" s="172"/>
      <c r="D1019" s="3"/>
      <c r="E1019" s="3"/>
      <c r="F1019" s="3"/>
      <c r="G1019" s="3"/>
    </row>
    <row r="1020" spans="1:9" ht="12.75" customHeight="1">
      <c r="A1020" s="176"/>
      <c r="B1020" s="176"/>
      <c r="C1020" s="175"/>
      <c r="D1020" s="1296" t="s">
        <v>2077</v>
      </c>
      <c r="E1020" s="1296"/>
      <c r="F1020" s="1296"/>
      <c r="G1020" s="3"/>
      <c r="I1020" s="436" t="s">
        <v>2189</v>
      </c>
    </row>
    <row r="1021" spans="1:9" ht="12.75" customHeight="1">
      <c r="A1021" s="386"/>
      <c r="B1021" s="520" t="s">
        <v>2779</v>
      </c>
      <c r="C1021" s="386"/>
      <c r="D1021" s="1344" t="s">
        <v>1431</v>
      </c>
      <c r="E1021" s="1344"/>
      <c r="F1021" s="1344"/>
      <c r="G1021" s="3"/>
    </row>
    <row r="1022" spans="1:9" ht="12.75" customHeight="1">
      <c r="A1022" s="386"/>
      <c r="B1022" s="176"/>
      <c r="C1022" s="386"/>
      <c r="D1022" s="1344" t="s">
        <v>2064</v>
      </c>
      <c r="E1022" s="1344"/>
      <c r="F1022" s="1344"/>
      <c r="G1022" s="3"/>
    </row>
    <row r="1023" spans="1:9" ht="12.75" customHeight="1">
      <c r="A1023" s="386"/>
      <c r="B1023" s="386"/>
      <c r="C1023" s="386"/>
      <c r="D1023" s="1344"/>
      <c r="E1023" s="1344"/>
      <c r="F1023" s="1344"/>
      <c r="G1023" s="3"/>
    </row>
    <row r="1024" spans="1:9" ht="12.75" customHeight="1">
      <c r="A1024" s="1290" t="s">
        <v>2073</v>
      </c>
      <c r="B1024" s="1290"/>
      <c r="C1024" s="1290"/>
      <c r="D1024" s="1290"/>
      <c r="E1024" s="1290"/>
      <c r="F1024" s="1290"/>
      <c r="G1024" s="1290"/>
      <c r="H1024" s="1068"/>
      <c r="I1024" s="1069"/>
    </row>
    <row r="1025" spans="1:9" ht="12.75" customHeight="1">
      <c r="A1025" s="118"/>
      <c r="B1025" s="118"/>
      <c r="C1025" s="386"/>
      <c r="D1025" s="3"/>
      <c r="E1025" s="3"/>
      <c r="F1025" s="3"/>
      <c r="G1025" s="3"/>
    </row>
    <row r="1026" spans="1:9" ht="12.75" hidden="1" customHeight="1">
      <c r="A1026" s="118"/>
      <c r="B1026" s="434"/>
      <c r="D1026" s="1291" t="s">
        <v>1432</v>
      </c>
      <c r="E1026" s="1291"/>
      <c r="F1026" s="1291"/>
      <c r="G1026" s="3"/>
    </row>
    <row r="1027" spans="1:9" ht="12.75" hidden="1" customHeight="1">
      <c r="A1027" s="118"/>
      <c r="B1027" s="520" t="s">
        <v>309</v>
      </c>
      <c r="D1027" s="1276" t="s">
        <v>1431</v>
      </c>
      <c r="E1027" s="1276"/>
      <c r="F1027" s="1276"/>
      <c r="G1027" s="3"/>
    </row>
    <row r="1028" spans="1:9" ht="12.75" hidden="1" customHeight="1">
      <c r="A1028" s="118"/>
      <c r="B1028" s="434"/>
      <c r="D1028" s="1276" t="s">
        <v>2074</v>
      </c>
      <c r="E1028" s="1276"/>
      <c r="F1028" s="1276"/>
      <c r="G1028" s="3"/>
    </row>
    <row r="1029" spans="1:9" ht="12.75" hidden="1" customHeight="1">
      <c r="A1029" s="118"/>
      <c r="B1029" s="434"/>
      <c r="D1029" s="479"/>
      <c r="E1029" s="479"/>
      <c r="F1029" s="479"/>
      <c r="G1029" s="3"/>
    </row>
    <row r="1030" spans="1:9" ht="12.75" customHeight="1">
      <c r="A1030" s="118"/>
      <c r="B1030" s="118"/>
      <c r="C1030" s="386"/>
      <c r="D1030" s="1350" t="s">
        <v>1133</v>
      </c>
      <c r="E1030" s="1350"/>
      <c r="F1030" s="1350"/>
      <c r="G1030" s="3"/>
      <c r="I1030" s="436" t="s">
        <v>2218</v>
      </c>
    </row>
    <row r="1031" spans="1:9" ht="12.75" customHeight="1">
      <c r="A1031" s="346"/>
      <c r="B1031" s="346"/>
      <c r="C1031" s="346"/>
      <c r="D1031" s="1286" t="s">
        <v>1150</v>
      </c>
      <c r="E1031" s="1286"/>
      <c r="F1031" s="1286"/>
      <c r="G1031" s="98"/>
    </row>
    <row r="1032" spans="1:9" ht="12.75" customHeight="1">
      <c r="A1032" s="176"/>
      <c r="B1032" s="520" t="s">
        <v>2780</v>
      </c>
      <c r="C1032" s="386"/>
      <c r="D1032" s="1286" t="s">
        <v>1027</v>
      </c>
      <c r="E1032" s="1286"/>
      <c r="F1032" s="1286"/>
      <c r="G1032" s="3"/>
    </row>
    <row r="1033" spans="1:9" ht="12.75" customHeight="1">
      <c r="A1033" s="386"/>
      <c r="B1033" s="386"/>
      <c r="C1033" s="386"/>
      <c r="D1033" s="1077" t="s">
        <v>2296</v>
      </c>
      <c r="E1033" s="96"/>
      <c r="F1033" s="96"/>
      <c r="G1033" s="3"/>
    </row>
    <row r="1034" spans="1:9">
      <c r="A1034" s="434"/>
      <c r="B1034" s="434"/>
      <c r="C1034" s="434"/>
    </row>
    <row r="1035" spans="1:9">
      <c r="A1035" s="1290" t="s">
        <v>2094</v>
      </c>
      <c r="B1035" s="1290"/>
      <c r="C1035" s="1290"/>
      <c r="D1035" s="1290"/>
      <c r="E1035" s="1290"/>
      <c r="F1035" s="1290"/>
      <c r="G1035" s="1290"/>
      <c r="H1035" s="1068"/>
      <c r="I1035" s="1069"/>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2780</v>
      </c>
      <c r="C1040" s="434"/>
      <c r="D1040" s="1347" t="s">
        <v>2078</v>
      </c>
      <c r="E1040" s="1347"/>
      <c r="F1040" s="1347"/>
      <c r="I1040" s="436" t="s">
        <v>2190</v>
      </c>
    </row>
    <row r="1041" spans="1:9">
      <c r="A1041" s="434"/>
      <c r="B1041" s="434"/>
      <c r="C1041" s="434"/>
      <c r="D1041" s="1347"/>
      <c r="E1041" s="1347"/>
      <c r="F1041" s="1347"/>
    </row>
    <row r="1042" spans="1:9">
      <c r="A1042" s="434"/>
      <c r="B1042" s="434"/>
      <c r="C1042" s="434"/>
      <c r="D1042" s="1347"/>
      <c r="E1042" s="1347"/>
      <c r="F1042" s="1347"/>
    </row>
    <row r="1043" spans="1:9">
      <c r="A1043" s="434"/>
      <c r="B1043" s="434"/>
      <c r="C1043" s="434"/>
      <c r="D1043" s="1347"/>
      <c r="E1043" s="1347"/>
      <c r="F1043" s="1347"/>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2780</v>
      </c>
      <c r="C1048" s="434"/>
      <c r="D1048" s="434" t="s">
        <v>2076</v>
      </c>
      <c r="I1048" s="436" t="s">
        <v>2191</v>
      </c>
    </row>
    <row r="1049" spans="1:9">
      <c r="A1049" s="434"/>
      <c r="B1049" s="434"/>
      <c r="C1049" s="434"/>
    </row>
    <row r="1050" spans="1:9">
      <c r="A1050" s="434"/>
      <c r="B1050" s="520" t="s">
        <v>2780</v>
      </c>
      <c r="C1050" s="434"/>
      <c r="D1050" s="1347" t="s">
        <v>2082</v>
      </c>
      <c r="E1050" s="1347"/>
      <c r="F1050" s="1347"/>
      <c r="I1050" s="436" t="s">
        <v>2192</v>
      </c>
    </row>
    <row r="1051" spans="1:9">
      <c r="A1051" s="434"/>
      <c r="B1051" s="434"/>
      <c r="C1051" s="434"/>
      <c r="D1051" s="1347"/>
      <c r="E1051" s="1347"/>
      <c r="F1051" s="1347"/>
    </row>
    <row r="1052" spans="1:9">
      <c r="A1052" s="434"/>
      <c r="B1052" s="434"/>
      <c r="C1052" s="434"/>
      <c r="D1052" s="1347"/>
      <c r="E1052" s="1347"/>
      <c r="F1052" s="1347"/>
    </row>
    <row r="1053" spans="1:9">
      <c r="A1053" s="434"/>
      <c r="B1053" s="434"/>
      <c r="C1053" s="434"/>
      <c r="D1053" s="1347"/>
      <c r="E1053" s="1347"/>
      <c r="F1053" s="1347"/>
    </row>
    <row r="1054" spans="1:9">
      <c r="A1054" s="434"/>
      <c r="B1054" s="434"/>
      <c r="C1054" s="434"/>
      <c r="D1054" s="1347"/>
      <c r="E1054" s="1347"/>
      <c r="F1054" s="1347"/>
    </row>
    <row r="1055" spans="1:9">
      <c r="A1055" s="434"/>
      <c r="B1055" s="434"/>
      <c r="C1055" s="434"/>
    </row>
    <row r="1056" spans="1:9">
      <c r="A1056" s="1290" t="s">
        <v>2083</v>
      </c>
      <c r="B1056" s="1290"/>
      <c r="C1056" s="1290"/>
      <c r="D1056" s="1290"/>
      <c r="E1056" s="1290"/>
      <c r="F1056" s="1290"/>
      <c r="G1056" s="1290"/>
      <c r="H1056" s="1068"/>
      <c r="I1056" s="1069"/>
    </row>
    <row r="1057" spans="1:9">
      <c r="A1057" s="434"/>
      <c r="B1057" s="434"/>
      <c r="C1057" s="434"/>
    </row>
    <row r="1058" spans="1:9">
      <c r="A1058" s="434"/>
      <c r="B1058" s="434"/>
      <c r="C1058" s="434"/>
    </row>
    <row r="1059" spans="1:9">
      <c r="A1059" s="434"/>
      <c r="B1059" s="520" t="s">
        <v>2779</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2780</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2780</v>
      </c>
      <c r="C1065" s="434"/>
      <c r="D1065" s="119" t="s">
        <v>2092</v>
      </c>
      <c r="I1065" s="436" t="s">
        <v>2195</v>
      </c>
    </row>
    <row r="1066" spans="1:9">
      <c r="A1066" s="434"/>
      <c r="B1066" s="434"/>
      <c r="C1066" s="434"/>
      <c r="D1066" s="1262" t="s">
        <v>2093</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2780</v>
      </c>
      <c r="C1073" s="434"/>
      <c r="D1073" s="1346" t="s">
        <v>2085</v>
      </c>
      <c r="E1073" s="1346"/>
      <c r="F1073" s="1346"/>
    </row>
    <row r="1074" spans="1:9">
      <c r="A1074" s="434"/>
      <c r="B1074" s="434"/>
      <c r="C1074" s="434"/>
      <c r="D1074" s="1346"/>
      <c r="E1074" s="1346"/>
      <c r="F1074" s="1346"/>
    </row>
    <row r="1075" spans="1:9">
      <c r="A1075" s="434"/>
      <c r="B1075" s="434"/>
      <c r="C1075" s="434"/>
      <c r="D1075" s="1346"/>
      <c r="E1075" s="1346"/>
      <c r="F1075" s="1346"/>
    </row>
    <row r="1076" spans="1:9">
      <c r="A1076" s="434"/>
      <c r="B1076" s="434"/>
      <c r="C1076" s="434"/>
      <c r="D1076" s="1346"/>
      <c r="E1076" s="1346"/>
      <c r="F1076" s="1346"/>
    </row>
    <row r="1077" spans="1:9">
      <c r="A1077" s="434"/>
      <c r="B1077" s="434"/>
      <c r="C1077" s="434"/>
      <c r="D1077" s="1346"/>
      <c r="E1077" s="1346"/>
      <c r="F1077" s="1346"/>
    </row>
    <row r="1078" spans="1:9">
      <c r="A1078" s="434"/>
      <c r="B1078" s="434"/>
      <c r="C1078" s="434"/>
      <c r="D1078" s="562" t="s">
        <v>2090</v>
      </c>
    </row>
    <row r="1079" spans="1:9">
      <c r="A1079" s="434"/>
      <c r="B1079" s="434"/>
      <c r="C1079" s="434"/>
    </row>
    <row r="1080" spans="1:9">
      <c r="A1080" s="1290" t="s">
        <v>2095</v>
      </c>
      <c r="B1080" s="1290"/>
      <c r="C1080" s="1290"/>
      <c r="D1080" s="1290"/>
      <c r="E1080" s="1290"/>
      <c r="F1080" s="1290"/>
      <c r="G1080" s="1290"/>
      <c r="H1080" s="1068"/>
      <c r="I1080" s="1069"/>
    </row>
    <row r="1081" spans="1:9">
      <c r="A1081" s="434"/>
      <c r="B1081" s="434"/>
      <c r="C1081" s="434"/>
    </row>
    <row r="1082" spans="1:9">
      <c r="A1082" s="434"/>
      <c r="B1082" s="434"/>
      <c r="C1082" s="434"/>
    </row>
    <row r="1083" spans="1:9" ht="12.75" customHeight="1">
      <c r="A1083" s="434"/>
      <c r="B1083" s="520" t="s">
        <v>2780</v>
      </c>
      <c r="C1083" s="434"/>
      <c r="D1083" s="1348" t="s">
        <v>2308</v>
      </c>
      <c r="E1083" s="1348"/>
      <c r="F1083" s="1348"/>
      <c r="I1083" s="436" t="s">
        <v>2197</v>
      </c>
    </row>
    <row r="1084" spans="1:9">
      <c r="A1084" s="434"/>
      <c r="B1084" s="434"/>
      <c r="C1084" s="434"/>
      <c r="D1084" s="1348"/>
      <c r="E1084" s="1348"/>
      <c r="F1084" s="1348"/>
    </row>
    <row r="1085" spans="1:9">
      <c r="A1085" s="434"/>
      <c r="B1085" s="434"/>
      <c r="C1085" s="434"/>
      <c r="D1085" s="1349" t="s">
        <v>2615</v>
      </c>
      <c r="E1085" s="1262"/>
      <c r="F1085" s="1262"/>
    </row>
    <row r="1086" spans="1:9">
      <c r="A1086" s="434"/>
      <c r="B1086" s="434"/>
      <c r="C1086" s="434"/>
      <c r="D1086" s="562"/>
    </row>
    <row r="1087" spans="1:9">
      <c r="A1087" s="434"/>
      <c r="B1087" s="520" t="s">
        <v>2780</v>
      </c>
      <c r="C1087" s="434"/>
      <c r="D1087" s="1346" t="s">
        <v>2096</v>
      </c>
      <c r="E1087" s="1346"/>
      <c r="F1087" s="1346"/>
      <c r="I1087" s="436" t="s">
        <v>2198</v>
      </c>
    </row>
    <row r="1088" spans="1:9">
      <c r="A1088" s="434"/>
      <c r="B1088" s="434"/>
      <c r="C1088" s="434"/>
      <c r="D1088" s="1346"/>
      <c r="E1088" s="1346"/>
      <c r="F1088" s="1346"/>
    </row>
    <row r="1089" spans="1:9">
      <c r="A1089" s="434"/>
      <c r="B1089" s="434"/>
      <c r="C1089" s="434"/>
      <c r="D1089" s="562"/>
    </row>
    <row r="1090" spans="1:9">
      <c r="A1090" s="434"/>
      <c r="B1090" s="520" t="s">
        <v>2780</v>
      </c>
      <c r="C1090" s="434"/>
      <c r="D1090" s="1346" t="s">
        <v>2242</v>
      </c>
      <c r="E1090" s="1346"/>
      <c r="F1090" s="1346"/>
      <c r="I1090" s="436" t="s">
        <v>2240</v>
      </c>
    </row>
    <row r="1091" spans="1:9">
      <c r="A1091" s="434"/>
      <c r="B1091" s="434"/>
      <c r="C1091" s="434"/>
      <c r="D1091" s="1346"/>
      <c r="E1091" s="1346"/>
      <c r="F1091" s="1346"/>
    </row>
    <row r="1092" spans="1:9">
      <c r="A1092" s="434"/>
      <c r="B1092" s="434"/>
      <c r="C1092" s="434"/>
      <c r="D1092" s="1346"/>
      <c r="E1092" s="1346"/>
      <c r="F1092" s="1346"/>
    </row>
    <row r="1093" spans="1:9">
      <c r="A1093" s="434"/>
      <c r="B1093" s="434"/>
      <c r="C1093" s="434"/>
      <c r="D1093" s="1346"/>
      <c r="E1093" s="1346"/>
      <c r="F1093" s="1346"/>
    </row>
    <row r="1094" spans="1:9">
      <c r="A1094" s="434"/>
      <c r="B1094" s="434"/>
      <c r="C1094" s="434"/>
      <c r="D1094" s="1346"/>
      <c r="E1094" s="1346"/>
      <c r="F1094" s="1346"/>
    </row>
    <row r="1095" spans="1:9">
      <c r="A1095" s="434"/>
      <c r="B1095" s="434"/>
      <c r="C1095" s="434"/>
      <c r="D1095" s="1346"/>
      <c r="E1095" s="1346"/>
      <c r="F1095" s="1346"/>
    </row>
    <row r="1096" spans="1:9">
      <c r="A1096" s="434"/>
      <c r="B1096" s="434"/>
      <c r="C1096" s="434"/>
      <c r="D1096" s="562" t="s">
        <v>2241</v>
      </c>
      <c r="I1096" s="434"/>
    </row>
    <row r="1097" spans="1:9">
      <c r="A1097" s="434"/>
      <c r="B1097" s="520" t="s">
        <v>2780</v>
      </c>
      <c r="C1097" s="434"/>
      <c r="D1097" s="1346" t="s">
        <v>2097</v>
      </c>
      <c r="E1097" s="1346"/>
      <c r="F1097" s="1346"/>
      <c r="I1097" s="436" t="s">
        <v>2199</v>
      </c>
    </row>
    <row r="1098" spans="1:9">
      <c r="A1098" s="434"/>
      <c r="B1098" s="434"/>
      <c r="C1098" s="434"/>
      <c r="D1098" s="1346"/>
      <c r="E1098" s="1346"/>
      <c r="F1098" s="1346"/>
    </row>
    <row r="1099" spans="1:9">
      <c r="A1099" s="434"/>
      <c r="B1099" s="434"/>
      <c r="C1099" s="434"/>
      <c r="D1099" s="1346"/>
      <c r="E1099" s="1346"/>
      <c r="F1099" s="1346"/>
    </row>
    <row r="1100" spans="1:9">
      <c r="A1100" s="434"/>
      <c r="B1100" s="434"/>
      <c r="C1100" s="434"/>
      <c r="D1100" s="562"/>
    </row>
    <row r="1101" spans="1:9">
      <c r="A1101" s="434"/>
      <c r="B1101" s="520" t="s">
        <v>2779</v>
      </c>
      <c r="C1101" s="434"/>
      <c r="D1101" s="1268" t="s">
        <v>2243</v>
      </c>
      <c r="E1101" s="1268"/>
      <c r="F1101" s="1268"/>
      <c r="I1101" s="436" t="s">
        <v>2200</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4"/>
      <c r="E1104" s="1014"/>
      <c r="F1104" s="1014"/>
    </row>
    <row r="1105" spans="1:9" ht="15.75" customHeight="1">
      <c r="A1105" s="434"/>
      <c r="B1105" s="520" t="s">
        <v>2780</v>
      </c>
      <c r="C1105" s="434"/>
      <c r="D1105" s="1262" t="s">
        <v>2245</v>
      </c>
      <c r="E1105" s="1262"/>
      <c r="F1105" s="1262"/>
      <c r="I1105" s="436" t="s">
        <v>2244</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4"/>
      <c r="E1109" s="1014"/>
      <c r="F1109" s="1014"/>
    </row>
    <row r="1110" spans="1:9" ht="38.25">
      <c r="A1110" s="434"/>
      <c r="B1110" s="434"/>
      <c r="C1110" s="434"/>
      <c r="I1110" s="448" t="s">
        <v>2467</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5"/>
      <c r="H1523" s="1275"/>
      <c r="I1523" s="127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353" zoomScaleNormal="100" zoomScaleSheetLayoutView="80" workbookViewId="0">
      <selection activeCell="AR195" sqref="AR195"/>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2">
        <v>4</v>
      </c>
    </row>
    <row r="2" spans="1:51" ht="12.95" customHeight="1"/>
    <row r="3" spans="1:51" ht="12.95" customHeight="1"/>
    <row r="4" spans="1:51" ht="12.95" customHeight="1"/>
    <row r="5" spans="1:51" ht="12.95" customHeight="1"/>
    <row r="6" spans="1:51" ht="12.95" customHeight="1"/>
    <row r="7" spans="1:51" ht="12.95" customHeight="1"/>
    <row r="8" spans="1:51" ht="26.25" customHeight="1">
      <c r="A8" s="1730" t="s">
        <v>101</v>
      </c>
      <c r="B8" s="1730"/>
      <c r="C8" s="1730"/>
      <c r="D8" s="1730"/>
      <c r="E8" s="1730"/>
      <c r="F8" s="1730"/>
      <c r="G8" s="1730"/>
      <c r="H8" s="1730"/>
      <c r="I8" s="1730"/>
      <c r="J8" s="1730"/>
      <c r="K8" s="1730"/>
      <c r="L8" s="1730"/>
      <c r="M8" s="1730"/>
      <c r="N8" s="1730"/>
      <c r="O8" s="1730"/>
      <c r="P8" s="1730"/>
      <c r="Q8" s="1730"/>
      <c r="R8" s="1730"/>
      <c r="S8" s="1730"/>
      <c r="T8" s="1730"/>
      <c r="U8" s="1730"/>
      <c r="V8" s="1730"/>
      <c r="W8" s="1730"/>
      <c r="X8" s="1730"/>
      <c r="Y8" s="1730"/>
      <c r="Z8" s="1730"/>
      <c r="AA8" s="1730"/>
      <c r="AB8" s="1730"/>
      <c r="AC8" s="1730"/>
      <c r="AD8" s="1730"/>
      <c r="AE8" s="1730"/>
      <c r="AF8" s="1730"/>
      <c r="AG8" s="1730"/>
      <c r="AH8" s="1730"/>
      <c r="AI8" s="1730"/>
      <c r="AJ8" s="1730"/>
      <c r="AK8" s="1730"/>
      <c r="AL8" s="1730"/>
      <c r="AM8" s="932"/>
      <c r="AN8" s="932"/>
      <c r="AO8" s="932"/>
      <c r="AP8" s="932"/>
      <c r="AQ8" s="932"/>
      <c r="AR8" s="932"/>
      <c r="AS8" s="932"/>
      <c r="AT8" s="932"/>
      <c r="AU8" s="932"/>
      <c r="AV8" s="932"/>
      <c r="AW8" s="932"/>
      <c r="AX8" s="932"/>
      <c r="AY8" s="932"/>
    </row>
    <row r="9" spans="1:51" ht="12.95" customHeight="1">
      <c r="A9" s="1302" t="s">
        <v>2473</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2.95" customHeight="1">
      <c r="A10" s="1302" t="s">
        <v>2606</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2.95" customHeight="1">
      <c r="A11" s="1302" t="s">
        <v>1840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2.95" customHeight="1">
      <c r="A12" s="1562" t="s">
        <v>2620</v>
      </c>
      <c r="B12" s="1563"/>
      <c r="C12" s="1563"/>
      <c r="D12" s="1563"/>
      <c r="E12" s="1563"/>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1563"/>
      <c r="AD12" s="1563"/>
      <c r="AE12" s="1563"/>
      <c r="AF12" s="1563"/>
      <c r="AG12" s="1563"/>
      <c r="AH12" s="1563"/>
      <c r="AI12" s="1563"/>
      <c r="AJ12" s="1563"/>
      <c r="AK12" s="1563"/>
      <c r="AL12" s="1563"/>
      <c r="AM12" s="6"/>
      <c r="AN12" s="6"/>
      <c r="AO12" s="6"/>
      <c r="AP12" s="6"/>
      <c r="AQ12" s="6"/>
      <c r="AR12" s="6"/>
      <c r="AS12" s="6"/>
      <c r="AT12" s="6"/>
      <c r="AU12" s="6"/>
      <c r="AV12" s="6"/>
      <c r="AW12" s="6"/>
      <c r="AX12" s="6"/>
      <c r="AY12" s="6"/>
    </row>
    <row r="13" spans="1:51" ht="12.95" customHeight="1">
      <c r="A13" s="1272" t="s">
        <v>2474</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933"/>
      <c r="AN13" s="933"/>
      <c r="AO13" s="933"/>
      <c r="AP13" s="933"/>
      <c r="AQ13" s="933"/>
      <c r="AR13" s="933"/>
      <c r="AS13" s="933"/>
      <c r="AT13" s="933"/>
      <c r="AU13" s="933"/>
      <c r="AV13" s="933"/>
      <c r="AW13" s="933"/>
      <c r="AX13" s="933"/>
      <c r="AY13" s="933"/>
    </row>
    <row r="14" spans="1:51" ht="12.95" customHeight="1" thickBo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933"/>
      <c r="AN14" s="933"/>
      <c r="AO14" s="933"/>
      <c r="AP14" s="933"/>
      <c r="AQ14" s="933"/>
      <c r="AR14" s="933"/>
      <c r="AS14" s="933"/>
      <c r="AT14" s="933"/>
      <c r="AU14" s="933"/>
      <c r="AV14" s="933"/>
      <c r="AW14" s="933"/>
      <c r="AX14" s="933"/>
      <c r="AY14" s="933"/>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2475</v>
      </c>
      <c r="C16" s="4"/>
      <c r="D16" s="4"/>
      <c r="E16" s="4"/>
      <c r="F16" s="4"/>
      <c r="G16" s="4"/>
      <c r="H16" s="1549" t="s">
        <v>2621</v>
      </c>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row>
    <row r="17" spans="1:52" ht="12.95" customHeight="1"/>
    <row r="18" spans="1:52" ht="12.95" customHeight="1">
      <c r="A18" s="57" t="s">
        <v>102</v>
      </c>
      <c r="C18" s="4"/>
      <c r="D18" s="4"/>
      <c r="E18" s="4"/>
      <c r="F18" s="4"/>
      <c r="G18" s="4"/>
      <c r="H18" s="1436" t="s">
        <v>2622</v>
      </c>
      <c r="I18" s="1436"/>
      <c r="J18" s="1436"/>
      <c r="K18" s="1436"/>
      <c r="L18" s="1436"/>
      <c r="M18" s="1436"/>
      <c r="N18" s="1436"/>
      <c r="O18" s="1436"/>
      <c r="P18" s="1436"/>
      <c r="Q18" s="1436"/>
      <c r="R18" s="1436"/>
      <c r="S18" s="1436"/>
      <c r="T18" s="1436"/>
      <c r="U18" s="1436"/>
      <c r="V18" s="1436"/>
      <c r="W18" s="1436"/>
      <c r="X18" s="1436"/>
      <c r="Y18" s="1436"/>
      <c r="Z18" s="1436"/>
      <c r="AA18" s="1436"/>
      <c r="AB18" s="1436"/>
      <c r="AC18" s="1436"/>
      <c r="AD18" s="1436"/>
      <c r="AE18" s="1436"/>
      <c r="AF18" s="1436"/>
      <c r="AG18" s="1436"/>
      <c r="AH18" s="1436"/>
      <c r="AI18" s="1436"/>
      <c r="AJ18" s="1436"/>
    </row>
    <row r="19" spans="1:52" ht="12.95" customHeight="1"/>
    <row r="20" spans="1:52" ht="12.95" customHeight="1">
      <c r="A20" s="1557" t="s">
        <v>902</v>
      </c>
      <c r="B20" s="1557"/>
      <c r="C20" s="1557"/>
      <c r="D20" s="1557"/>
      <c r="E20" s="1557"/>
      <c r="F20" s="1557"/>
      <c r="G20" s="1557"/>
      <c r="H20" s="1557"/>
      <c r="I20" s="1557"/>
      <c r="J20" s="1557"/>
      <c r="K20" s="1557"/>
      <c r="L20" s="1557"/>
      <c r="M20" s="1557"/>
      <c r="N20" s="1557"/>
      <c r="O20" s="1557"/>
      <c r="P20" s="1557"/>
      <c r="Q20" s="1557"/>
      <c r="R20" s="1557"/>
      <c r="S20" s="1557"/>
      <c r="T20" s="1557"/>
      <c r="U20" s="1557"/>
      <c r="V20" s="1557"/>
      <c r="W20" s="1557"/>
      <c r="X20" s="1557"/>
      <c r="Y20" s="1557"/>
      <c r="Z20" s="1557"/>
      <c r="AA20" s="1557"/>
      <c r="AB20" s="1557"/>
      <c r="AC20" s="1557"/>
      <c r="AD20" s="1557"/>
      <c r="AE20" s="1557"/>
      <c r="AF20" s="1557"/>
      <c r="AG20" s="1557"/>
      <c r="AH20" s="1557"/>
      <c r="AI20" s="1557"/>
      <c r="AJ20" s="1557"/>
      <c r="AK20" s="1557"/>
      <c r="AL20" s="1557"/>
      <c r="AM20" s="934"/>
      <c r="AN20" s="934"/>
      <c r="AO20" s="934"/>
      <c r="AP20" s="934"/>
      <c r="AQ20" s="934"/>
      <c r="AR20" s="934"/>
      <c r="AS20" s="934"/>
      <c r="AT20" s="934"/>
      <c r="AU20" s="934"/>
      <c r="AV20" s="934"/>
      <c r="AW20" s="934"/>
      <c r="AX20" s="934"/>
      <c r="AY20" s="934"/>
    </row>
    <row r="21" spans="1:52" ht="12.95" customHeight="1">
      <c r="A21" s="1565" t="s">
        <v>1067</v>
      </c>
      <c r="B21" s="1565"/>
      <c r="C21" s="1565"/>
      <c r="D21" s="1565"/>
      <c r="E21" s="1565"/>
      <c r="F21" s="1565"/>
      <c r="G21" s="1565"/>
      <c r="H21" s="1565"/>
      <c r="I21" s="1565"/>
      <c r="J21" s="1565"/>
      <c r="K21" s="1565"/>
      <c r="L21" s="1565"/>
      <c r="M21" s="1565"/>
      <c r="N21" s="1565"/>
      <c r="O21" s="1565"/>
      <c r="P21" s="1565"/>
      <c r="Q21" s="1565"/>
      <c r="R21" s="1565"/>
      <c r="S21" s="1565"/>
      <c r="T21" s="1565"/>
      <c r="U21" s="1565"/>
      <c r="V21" s="1565"/>
      <c r="W21" s="1565"/>
      <c r="X21" s="1565"/>
      <c r="Y21" s="1565"/>
      <c r="Z21" s="1565"/>
      <c r="AA21" s="1565"/>
      <c r="AB21" s="1565"/>
      <c r="AC21" s="1565"/>
      <c r="AD21" s="1565"/>
      <c r="AE21" s="1565"/>
      <c r="AF21" s="1565"/>
      <c r="AG21" s="1565"/>
      <c r="AH21" s="1565"/>
      <c r="AI21" s="1565"/>
      <c r="AJ21" s="1565"/>
      <c r="AK21" s="1565"/>
      <c r="AL21" s="1565"/>
      <c r="AM21" s="935"/>
      <c r="AN21" s="935"/>
      <c r="AO21" s="935"/>
      <c r="AP21" s="935"/>
      <c r="AQ21" s="935"/>
      <c r="AR21" s="935"/>
      <c r="AS21" s="935"/>
      <c r="AT21" s="935"/>
      <c r="AU21" s="935"/>
      <c r="AV21" s="935"/>
      <c r="AW21" s="935"/>
      <c r="AX21" s="935"/>
      <c r="AY21" s="935"/>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4">
        <f>'Basis &amp; Credits'!AB56</f>
        <v>3358967</v>
      </c>
      <c r="N26" s="1564"/>
      <c r="O26" s="1564"/>
      <c r="P26" s="1564"/>
      <c r="Q26" s="1564"/>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04">
        <f>'Basis &amp; Credits'!AB77</f>
        <v>13302649</v>
      </c>
      <c r="N27" s="1504"/>
      <c r="O27" s="1504"/>
      <c r="P27" s="1504"/>
      <c r="Q27" s="1504"/>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78" t="s">
        <v>679</v>
      </c>
      <c r="P33" s="1378"/>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2478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2479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2489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54"/>
      <c r="H122" s="1554"/>
      <c r="I122" s="3" t="s">
        <v>183</v>
      </c>
      <c r="L122" s="1554"/>
      <c r="M122" s="1554"/>
      <c r="N122" s="1554"/>
      <c r="O122" s="1570" t="s">
        <v>1427</v>
      </c>
      <c r="P122" s="1570"/>
      <c r="Q122" s="1570"/>
      <c r="R122" s="1570"/>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537"/>
      <c r="D124" s="1537"/>
      <c r="E124" s="1537"/>
      <c r="F124" s="1537"/>
      <c r="G124" s="1537"/>
      <c r="H124" s="1537"/>
      <c r="I124" s="1537"/>
      <c r="J124" s="1537"/>
      <c r="K124" s="1537"/>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54"/>
      <c r="Z126" s="1554"/>
      <c r="AA126" s="1554"/>
      <c r="AB126" s="1554"/>
      <c r="AC126" s="1554"/>
      <c r="AD126" s="1554"/>
      <c r="AE126" s="1554"/>
      <c r="AF126" s="1554"/>
      <c r="AG126" s="1554"/>
      <c r="AH126" s="1554"/>
      <c r="AI126" s="1554"/>
      <c r="AJ126" s="1554"/>
      <c r="AK126" s="1554"/>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54"/>
      <c r="Z129" s="1554"/>
      <c r="AA129" s="1554"/>
      <c r="AB129" s="1554"/>
      <c r="AC129" s="1554"/>
      <c r="AD129" s="1554"/>
      <c r="AE129" s="1554"/>
      <c r="AF129" s="1554"/>
      <c r="AG129" s="1554"/>
      <c r="AH129" s="1554"/>
      <c r="AI129" s="1554"/>
      <c r="AJ129" s="1554"/>
      <c r="AK129" s="1554"/>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54"/>
      <c r="Z132" s="1554"/>
      <c r="AA132" s="1554"/>
      <c r="AB132" s="1554"/>
      <c r="AC132" s="1554"/>
      <c r="AD132" s="1554"/>
      <c r="AE132" s="1554"/>
      <c r="AF132" s="1554"/>
      <c r="AG132" s="1554"/>
      <c r="AH132" s="1554"/>
      <c r="AI132" s="1554"/>
      <c r="AJ132" s="1554"/>
      <c r="AK132" s="1554"/>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436" t="s">
        <v>2623</v>
      </c>
      <c r="P153" s="1436"/>
      <c r="Q153" s="1436"/>
      <c r="R153" s="1436"/>
      <c r="S153" s="1436"/>
      <c r="T153" s="1436"/>
      <c r="U153" s="1436"/>
      <c r="V153" s="1436"/>
      <c r="W153" s="1436"/>
      <c r="X153" s="1436"/>
      <c r="Y153" s="1436"/>
      <c r="Z153" s="1436"/>
      <c r="AA153" s="1436"/>
      <c r="AB153" s="1436"/>
      <c r="AC153" s="1436"/>
      <c r="AD153" s="1436"/>
      <c r="AE153" s="1436"/>
      <c r="AF153" s="1436"/>
      <c r="AG153" s="1436"/>
      <c r="AH153" s="1436"/>
    </row>
    <row r="154" spans="1:72" ht="12.95" customHeight="1">
      <c r="D154" s="325" t="s">
        <v>443</v>
      </c>
      <c r="O154" s="1390" t="s">
        <v>2624</v>
      </c>
      <c r="P154" s="1390"/>
      <c r="Q154" s="1390"/>
      <c r="R154" s="1390"/>
      <c r="S154" s="1390"/>
      <c r="T154" s="1390"/>
      <c r="U154" s="1390"/>
      <c r="V154" s="1390"/>
      <c r="W154" s="1390"/>
      <c r="X154" s="1390"/>
      <c r="Y154" s="1390"/>
      <c r="Z154" s="1390"/>
      <c r="AA154" s="1390"/>
      <c r="AB154" s="1390"/>
      <c r="AC154" s="1390"/>
      <c r="AD154" s="1390"/>
      <c r="AE154" s="1390"/>
      <c r="AF154" s="1390"/>
      <c r="AG154" s="1390"/>
      <c r="AH154" s="1390"/>
    </row>
    <row r="155" spans="1:72" ht="12.95" customHeight="1">
      <c r="D155" s="8" t="s">
        <v>445</v>
      </c>
      <c r="F155" s="8"/>
      <c r="G155" s="8"/>
      <c r="H155" s="8"/>
      <c r="I155" s="8"/>
      <c r="J155" s="8"/>
      <c r="K155" s="8"/>
      <c r="L155" s="8"/>
      <c r="M155" s="8"/>
      <c r="N155" s="8"/>
      <c r="O155" s="1567" t="s">
        <v>444</v>
      </c>
      <c r="P155" s="1567"/>
      <c r="Q155" s="1567"/>
      <c r="R155" s="1567"/>
      <c r="S155" s="1567"/>
      <c r="T155" s="1567"/>
      <c r="U155" s="1567"/>
      <c r="V155" s="1567"/>
      <c r="W155" s="1567"/>
      <c r="X155" s="1567"/>
      <c r="Y155" s="1567"/>
      <c r="Z155" s="1567"/>
      <c r="AA155" s="1567"/>
      <c r="AB155" s="1567"/>
      <c r="AC155" s="1567"/>
      <c r="AD155" s="1567"/>
      <c r="AE155" s="1567"/>
      <c r="AF155" s="1567"/>
      <c r="AG155" s="1567"/>
      <c r="AH155" s="1567"/>
    </row>
    <row r="156" spans="1:72" ht="12.95" customHeight="1">
      <c r="D156" t="s">
        <v>315</v>
      </c>
      <c r="O156" s="1391" t="s">
        <v>2625</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309</v>
      </c>
    </row>
    <row r="157" spans="1:72" ht="12.95" customHeight="1">
      <c r="D157" t="s">
        <v>316</v>
      </c>
      <c r="O157" s="1436" t="s">
        <v>2626</v>
      </c>
      <c r="P157" s="1436"/>
      <c r="Q157" s="1436"/>
      <c r="R157" s="1436"/>
      <c r="S157" s="1436"/>
      <c r="T157" s="1436"/>
      <c r="U157" s="1436"/>
      <c r="V157" s="1436"/>
      <c r="W157" s="1436"/>
      <c r="X157" s="1436"/>
      <c r="Y157" s="8"/>
      <c r="Z157" s="8"/>
      <c r="AA157" s="8"/>
      <c r="AB157" s="8"/>
      <c r="AC157" s="8"/>
      <c r="AD157" s="8"/>
      <c r="AE157" s="8"/>
      <c r="AF157" s="8"/>
      <c r="BN157" s="23" t="s">
        <v>646</v>
      </c>
      <c r="BT157" t="s">
        <v>486</v>
      </c>
    </row>
    <row r="158" spans="1:72" ht="12.95" customHeight="1">
      <c r="D158" t="s">
        <v>317</v>
      </c>
      <c r="O158" s="1568">
        <v>93534</v>
      </c>
      <c r="P158" s="1568"/>
      <c r="Q158" s="1568"/>
      <c r="R158" s="1568"/>
      <c r="S158" s="9"/>
      <c r="T158" s="9"/>
      <c r="U158" s="9"/>
      <c r="V158" s="9"/>
      <c r="W158" s="9"/>
      <c r="X158" s="9"/>
      <c r="Y158" s="9"/>
      <c r="Z158" s="9"/>
      <c r="AA158" s="9"/>
      <c r="AB158" s="9"/>
      <c r="AC158" s="9"/>
      <c r="AD158" s="9"/>
      <c r="AE158" s="9"/>
      <c r="AF158" s="9"/>
      <c r="BN158" s="23" t="s">
        <v>647</v>
      </c>
      <c r="BT158" t="s">
        <v>487</v>
      </c>
    </row>
    <row r="159" spans="1:72" ht="12.95" customHeight="1">
      <c r="D159" t="s">
        <v>318</v>
      </c>
      <c r="O159" s="1538" t="s">
        <v>2627</v>
      </c>
      <c r="P159" s="1538"/>
      <c r="Q159" s="1538"/>
      <c r="R159" s="1538"/>
      <c r="S159" s="1538"/>
      <c r="T159" s="1538"/>
      <c r="V159" s="97" t="s">
        <v>273</v>
      </c>
      <c r="W159" s="1569"/>
      <c r="X159" s="1569"/>
      <c r="Y159" s="10"/>
      <c r="Z159" s="10"/>
      <c r="AA159" s="10"/>
      <c r="AB159" s="10"/>
      <c r="AC159" s="10"/>
      <c r="AD159" s="10"/>
      <c r="AE159" s="10"/>
      <c r="AF159" s="10"/>
      <c r="BN159" s="23" t="s">
        <v>341</v>
      </c>
      <c r="BT159" t="s">
        <v>488</v>
      </c>
    </row>
    <row r="160" spans="1:72" ht="12.95" customHeight="1">
      <c r="D160" t="s">
        <v>319</v>
      </c>
      <c r="O160" s="1538" t="s">
        <v>2628</v>
      </c>
      <c r="P160" s="1538"/>
      <c r="Q160" s="1538"/>
      <c r="R160" s="1538"/>
      <c r="S160" s="1538"/>
      <c r="T160" s="1538"/>
      <c r="U160" s="10"/>
      <c r="V160" s="10"/>
      <c r="W160" s="10"/>
      <c r="X160" s="10"/>
      <c r="Y160" s="10"/>
      <c r="Z160" s="10"/>
      <c r="AA160" s="10"/>
      <c r="AB160" s="10"/>
      <c r="AC160" s="10"/>
      <c r="AD160" s="10"/>
      <c r="AE160" s="10"/>
      <c r="AF160" s="10"/>
      <c r="BN160" s="23" t="s">
        <v>670</v>
      </c>
      <c r="BT160" t="s">
        <v>489</v>
      </c>
    </row>
    <row r="161" spans="1:72" ht="12.95" customHeight="1">
      <c r="D161" t="s">
        <v>320</v>
      </c>
      <c r="O161" s="1539" t="s">
        <v>2629</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540" t="s">
        <v>1388</v>
      </c>
      <c r="E164" s="1540"/>
      <c r="F164" s="1540"/>
      <c r="G164" s="1540"/>
      <c r="H164" s="1540"/>
      <c r="I164" s="1540"/>
      <c r="J164" s="1540"/>
      <c r="K164" s="1540"/>
      <c r="L164" s="1540"/>
      <c r="M164" s="1540"/>
      <c r="N164" s="1540"/>
      <c r="O164" s="1540"/>
      <c r="P164" s="1540"/>
      <c r="Q164" s="1540"/>
      <c r="R164" s="1540"/>
      <c r="S164" s="1540"/>
      <c r="T164" s="1540"/>
      <c r="U164" s="1540"/>
      <c r="V164" s="1540"/>
      <c r="W164" s="1540"/>
      <c r="X164" s="1540"/>
      <c r="Y164" s="1540"/>
      <c r="Z164" s="1540"/>
      <c r="AA164" s="1540"/>
      <c r="AB164" s="1540"/>
      <c r="AC164" s="1540"/>
      <c r="AD164" s="1540"/>
      <c r="AE164" s="1540"/>
      <c r="AF164" s="1540"/>
      <c r="AG164" s="1540"/>
      <c r="AH164" s="1540"/>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6" t="s">
        <v>549</v>
      </c>
      <c r="B169" s="1446"/>
      <c r="C169" s="1446"/>
      <c r="D169" s="1446"/>
      <c r="E169" s="1446"/>
      <c r="F169" s="1446"/>
      <c r="G169" s="1446"/>
      <c r="H169" s="1446"/>
      <c r="I169" s="1446"/>
      <c r="J169" s="1446"/>
      <c r="K169" s="1446"/>
      <c r="L169" s="1446"/>
      <c r="M169" s="1446"/>
      <c r="N169" s="1446"/>
      <c r="O169" s="1446"/>
      <c r="P169" s="1446"/>
      <c r="Q169" s="1446"/>
      <c r="R169" s="1446"/>
      <c r="S169" s="1446"/>
      <c r="T169" s="1446"/>
      <c r="U169" s="1446"/>
      <c r="V169" s="1446"/>
      <c r="W169" s="1446"/>
      <c r="X169" s="1446"/>
      <c r="Y169" s="1446"/>
      <c r="Z169" s="1446"/>
      <c r="AA169" s="1446"/>
      <c r="AB169" s="1446"/>
      <c r="AC169" s="1446"/>
      <c r="AD169" s="1446"/>
      <c r="AE169" s="1446"/>
      <c r="AF169" s="1446"/>
      <c r="AG169" s="1446"/>
      <c r="AH169" s="1446"/>
      <c r="AI169" s="1446"/>
      <c r="AJ169" s="1446"/>
      <c r="AK169" s="1446"/>
      <c r="AL169" s="1446"/>
      <c r="AM169" s="95"/>
      <c r="AN169" s="95"/>
      <c r="AO169" s="95"/>
      <c r="AP169" s="95"/>
      <c r="AQ169" s="95"/>
      <c r="AR169" s="95"/>
      <c r="AS169" s="95"/>
      <c r="AT169" s="95"/>
      <c r="AU169" s="95"/>
      <c r="AV169" s="95"/>
      <c r="AW169" s="95"/>
      <c r="AX169" s="95"/>
      <c r="AY169" s="95"/>
      <c r="BN169" s="23" t="s">
        <v>683</v>
      </c>
      <c r="BT169" t="s">
        <v>498</v>
      </c>
    </row>
    <row r="170" spans="1:72" ht="12.95" customHeight="1" thickBot="1">
      <c r="A170" s="1447"/>
      <c r="B170" s="1447"/>
      <c r="C170" s="1447"/>
      <c r="D170" s="1447"/>
      <c r="E170" s="1447"/>
      <c r="F170" s="1447"/>
      <c r="G170" s="1447"/>
      <c r="H170" s="1447"/>
      <c r="I170" s="1447"/>
      <c r="J170" s="1447"/>
      <c r="K170" s="1447"/>
      <c r="L170" s="1447"/>
      <c r="M170" s="1447"/>
      <c r="N170" s="1447"/>
      <c r="O170" s="1447"/>
      <c r="P170" s="1447"/>
      <c r="Q170" s="1447"/>
      <c r="R170" s="1447"/>
      <c r="S170" s="1447"/>
      <c r="T170" s="1447"/>
      <c r="U170" s="1447"/>
      <c r="V170" s="1447"/>
      <c r="W170" s="1447"/>
      <c r="X170" s="1447"/>
      <c r="Y170" s="1447"/>
      <c r="Z170" s="1447"/>
      <c r="AA170" s="1447"/>
      <c r="AB170" s="1447"/>
      <c r="AC170" s="1447"/>
      <c r="AD170" s="1447"/>
      <c r="AE170" s="1447"/>
      <c r="AF170" s="1447"/>
      <c r="AG170" s="1447"/>
      <c r="AH170" s="1447"/>
      <c r="AI170" s="1447"/>
      <c r="AJ170" s="1447"/>
      <c r="AK170" s="1447"/>
      <c r="AL170" s="1447"/>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66" t="s">
        <v>373</v>
      </c>
      <c r="K173" s="1566"/>
      <c r="L173" s="1566"/>
      <c r="M173" s="1566"/>
      <c r="N173" s="1566"/>
      <c r="O173" s="1566"/>
      <c r="P173" s="1566"/>
      <c r="Q173" s="1566"/>
      <c r="R173" s="1566"/>
      <c r="S173" s="1566"/>
      <c r="U173" s="25"/>
      <c r="X173" s="25"/>
      <c r="BN173" s="23" t="s">
        <v>216</v>
      </c>
      <c r="BT173" t="s">
        <v>502</v>
      </c>
    </row>
    <row r="174" spans="1:72" ht="12.95" customHeight="1">
      <c r="C174" s="24"/>
      <c r="D174" s="3" t="s">
        <v>1346</v>
      </c>
      <c r="J174" s="1391" t="s">
        <v>2522</v>
      </c>
      <c r="K174" s="1391"/>
      <c r="L174" s="1391"/>
      <c r="M174" s="1391"/>
      <c r="N174" s="1391"/>
      <c r="O174" s="1391"/>
      <c r="P174" s="1391"/>
      <c r="Q174" s="1391"/>
      <c r="R174" s="1391"/>
      <c r="S174" s="1391"/>
      <c r="T174" s="1391"/>
      <c r="U174" s="1391"/>
      <c r="V174" s="1391"/>
      <c r="W174" s="1391"/>
      <c r="X174" s="1391"/>
      <c r="Y174" s="1391"/>
      <c r="Z174" s="1391"/>
      <c r="AA174" s="1391"/>
      <c r="AB174" s="1391"/>
      <c r="BN174" s="23" t="s">
        <v>218</v>
      </c>
      <c r="BT174" t="s">
        <v>503</v>
      </c>
    </row>
    <row r="175" spans="1:72" ht="12.95" customHeight="1">
      <c r="C175" s="8"/>
      <c r="D175" s="3" t="s">
        <v>324</v>
      </c>
      <c r="O175" s="27"/>
      <c r="U175" s="1378" t="s">
        <v>679</v>
      </c>
      <c r="V175" s="1378"/>
      <c r="BN175" s="23" t="s">
        <v>219</v>
      </c>
      <c r="BT175" t="s">
        <v>504</v>
      </c>
    </row>
    <row r="176" spans="1:72" ht="12.95" customHeight="1">
      <c r="C176" s="8"/>
      <c r="D176" s="26"/>
      <c r="E176" t="s">
        <v>306</v>
      </c>
      <c r="O176" s="27"/>
      <c r="P176" t="s">
        <v>2495</v>
      </c>
      <c r="T176" s="27" t="s">
        <v>307</v>
      </c>
      <c r="U176" s="1558"/>
      <c r="V176" s="1558"/>
      <c r="W176" s="1" t="s">
        <v>308</v>
      </c>
      <c r="X176" s="1571"/>
      <c r="Y176" s="1571"/>
      <c r="BN176" s="23" t="s">
        <v>221</v>
      </c>
      <c r="BT176" t="s">
        <v>505</v>
      </c>
    </row>
    <row r="177" spans="1:72" ht="12.95" customHeight="1">
      <c r="C177" s="24"/>
      <c r="D177" t="s">
        <v>251</v>
      </c>
      <c r="R177" s="1378" t="s">
        <v>679</v>
      </c>
      <c r="S177" s="1378"/>
      <c r="BN177" s="23" t="s">
        <v>222</v>
      </c>
      <c r="BT177" t="s">
        <v>506</v>
      </c>
    </row>
    <row r="178" spans="1:72" ht="12.95" customHeight="1">
      <c r="C178" s="24"/>
      <c r="D178" s="3" t="s">
        <v>1347</v>
      </c>
      <c r="AA178" t="s">
        <v>2495</v>
      </c>
      <c r="AE178" s="27" t="s">
        <v>307</v>
      </c>
      <c r="AF178" s="1736"/>
      <c r="AG178" s="1736"/>
      <c r="AH178" s="1" t="s">
        <v>308</v>
      </c>
      <c r="AI178" s="1542"/>
      <c r="AJ178" s="1542"/>
      <c r="AK178" s="1542"/>
      <c r="BN178" s="23" t="s">
        <v>223</v>
      </c>
      <c r="BT178" t="s">
        <v>53</v>
      </c>
    </row>
    <row r="179" spans="1:72" ht="12.95" customHeight="1">
      <c r="C179" s="24"/>
      <c r="BN179" s="23" t="s">
        <v>224</v>
      </c>
      <c r="BT179" t="s">
        <v>54</v>
      </c>
    </row>
    <row r="180" spans="1:72" ht="12.95" customHeight="1">
      <c r="C180" s="24"/>
      <c r="D180" t="s">
        <v>2496</v>
      </c>
      <c r="X180" s="1378" t="s">
        <v>679</v>
      </c>
      <c r="Y180" s="1378"/>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8" t="str">
        <f>H18</f>
        <v>Maison's Sierra</v>
      </c>
      <c r="J184" s="1518"/>
      <c r="K184" s="1518"/>
      <c r="L184" s="1518"/>
      <c r="M184" s="1518"/>
      <c r="N184" s="1518"/>
      <c r="O184" s="1518"/>
      <c r="P184" s="1518"/>
      <c r="Q184" s="1518"/>
      <c r="R184" s="1518"/>
      <c r="S184" s="1518"/>
      <c r="T184" s="1518"/>
      <c r="U184" s="1518"/>
      <c r="V184" s="1518"/>
      <c r="W184" s="1518"/>
      <c r="X184" s="1518"/>
      <c r="Y184" s="1518"/>
      <c r="Z184" s="1518"/>
      <c r="AA184" s="1518"/>
      <c r="AB184" s="1518"/>
      <c r="AC184" s="1518"/>
      <c r="AD184" s="1518"/>
      <c r="AE184" s="1518"/>
      <c r="BC184" t="s">
        <v>597</v>
      </c>
      <c r="BN184" s="23" t="s">
        <v>232</v>
      </c>
      <c r="BT184" t="s">
        <v>62</v>
      </c>
    </row>
    <row r="185" spans="1:72" ht="12.95" customHeight="1">
      <c r="C185" s="21"/>
      <c r="D185" t="s">
        <v>589</v>
      </c>
      <c r="I185" s="1374" t="s">
        <v>2630</v>
      </c>
      <c r="J185" s="1374"/>
      <c r="K185" s="1374"/>
      <c r="L185" s="1374"/>
      <c r="M185" s="1374"/>
      <c r="N185" s="1374"/>
      <c r="O185" s="1374"/>
      <c r="P185" s="1374"/>
      <c r="Q185" s="1374"/>
      <c r="R185" s="1374"/>
      <c r="S185" s="1374"/>
      <c r="T185" s="1374"/>
      <c r="U185" s="1374"/>
      <c r="V185" s="1374"/>
      <c r="W185" s="1374"/>
      <c r="X185" s="1374"/>
      <c r="Y185" s="1374"/>
      <c r="Z185" s="1374"/>
      <c r="AA185" s="1374"/>
      <c r="AB185" s="1374"/>
      <c r="AC185" s="1374"/>
      <c r="AD185" s="1374"/>
      <c r="AE185" s="1374"/>
      <c r="BC185" t="s">
        <v>598</v>
      </c>
      <c r="BN185" s="23" t="s">
        <v>233</v>
      </c>
      <c r="BT185" t="s">
        <v>63</v>
      </c>
    </row>
    <row r="186" spans="1:72" ht="12.95" customHeight="1">
      <c r="C186" s="21"/>
      <c r="E186" t="s">
        <v>169</v>
      </c>
      <c r="BN186" s="23" t="s">
        <v>234</v>
      </c>
      <c r="BT186" t="s">
        <v>64</v>
      </c>
    </row>
    <row r="187" spans="1:72" ht="12.95" customHeight="1">
      <c r="C187" s="21"/>
      <c r="E187" s="1561" t="s">
        <v>2631</v>
      </c>
      <c r="F187" s="1449"/>
      <c r="G187" s="1449"/>
      <c r="H187" s="1449"/>
      <c r="I187" s="1449"/>
      <c r="J187" s="1449"/>
      <c r="K187" s="1449"/>
      <c r="L187" s="1449"/>
      <c r="M187" s="1449"/>
      <c r="N187" s="1449"/>
      <c r="O187" s="1449"/>
      <c r="P187" s="1449"/>
      <c r="Q187" s="1449"/>
      <c r="R187" s="1449"/>
      <c r="S187" s="1449"/>
      <c r="T187" s="1449"/>
      <c r="U187" s="1449"/>
      <c r="V187" s="1449"/>
      <c r="W187" s="1449"/>
      <c r="X187" s="1449"/>
      <c r="Y187" s="1449"/>
      <c r="Z187" s="1449"/>
      <c r="AA187" s="1449"/>
      <c r="AB187" s="1449"/>
      <c r="AC187" s="1449"/>
      <c r="AD187" s="1449"/>
      <c r="AE187" s="1449"/>
      <c r="BN187" s="23" t="s">
        <v>235</v>
      </c>
      <c r="BT187" t="s">
        <v>65</v>
      </c>
    </row>
    <row r="188" spans="1:72" ht="12.95" customHeight="1">
      <c r="C188" s="21"/>
      <c r="E188" s="1450"/>
      <c r="F188" s="1450"/>
      <c r="G188" s="1450"/>
      <c r="H188" s="1450"/>
      <c r="I188" s="1450"/>
      <c r="J188" s="1450"/>
      <c r="K188" s="1450"/>
      <c r="L188" s="1450"/>
      <c r="M188" s="1450"/>
      <c r="N188" s="1450"/>
      <c r="O188" s="1450"/>
      <c r="P188" s="1450"/>
      <c r="Q188" s="1450"/>
      <c r="R188" s="1450"/>
      <c r="S188" s="1450"/>
      <c r="T188" s="1450"/>
      <c r="U188" s="1450"/>
      <c r="V188" s="1450"/>
      <c r="W188" s="1450"/>
      <c r="X188" s="1450"/>
      <c r="Y188" s="1450"/>
      <c r="Z188" s="1450"/>
      <c r="AA188" s="1450"/>
      <c r="AB188" s="1450"/>
      <c r="AC188" s="1450"/>
      <c r="AD188" s="1450"/>
      <c r="AE188" s="1450"/>
      <c r="BN188" s="23" t="s">
        <v>237</v>
      </c>
      <c r="BT188" t="s">
        <v>66</v>
      </c>
    </row>
    <row r="189" spans="1:72" ht="12.95" customHeight="1">
      <c r="C189" s="21"/>
      <c r="D189" t="s">
        <v>590</v>
      </c>
      <c r="I189" s="1391" t="s">
        <v>2626</v>
      </c>
      <c r="J189" s="1391"/>
      <c r="K189" s="1391"/>
      <c r="L189" s="1391"/>
      <c r="M189" s="1391"/>
      <c r="N189" s="1391"/>
      <c r="O189" s="1391"/>
      <c r="P189" s="1391"/>
      <c r="Q189" t="s">
        <v>592</v>
      </c>
      <c r="T189" s="1391" t="s">
        <v>504</v>
      </c>
      <c r="U189" s="1391"/>
      <c r="V189" s="1391"/>
      <c r="W189" s="1391"/>
      <c r="X189" s="1391"/>
      <c r="Y189" s="1391"/>
      <c r="Z189" s="1391"/>
      <c r="AA189" s="1391"/>
      <c r="AB189" s="1391"/>
      <c r="AC189" s="1391"/>
      <c r="AD189" s="1391"/>
      <c r="AE189" s="1391"/>
      <c r="BC189" t="s">
        <v>309</v>
      </c>
      <c r="BH189" s="3" t="s">
        <v>601</v>
      </c>
      <c r="BN189" s="23" t="s">
        <v>238</v>
      </c>
      <c r="BT189" t="s">
        <v>67</v>
      </c>
    </row>
    <row r="190" spans="1:72" ht="12.95" customHeight="1">
      <c r="C190" s="21"/>
      <c r="D190" t="s">
        <v>593</v>
      </c>
      <c r="I190" s="1374">
        <v>93534</v>
      </c>
      <c r="J190" s="1374"/>
      <c r="K190" s="1374"/>
      <c r="L190" s="1374"/>
      <c r="M190" s="1374"/>
      <c r="N190" s="1374"/>
      <c r="O190" t="s">
        <v>595</v>
      </c>
      <c r="T190" s="1559">
        <v>9008.0400000000009</v>
      </c>
      <c r="U190" s="1559"/>
      <c r="V190" s="1559"/>
      <c r="W190" s="1559"/>
      <c r="X190" s="1559"/>
      <c r="Y190" s="1559"/>
      <c r="Z190" s="1559"/>
      <c r="AA190" s="1559"/>
      <c r="AB190" s="1559"/>
      <c r="AC190" s="1559"/>
      <c r="AD190" s="1559"/>
      <c r="AE190" s="1559"/>
      <c r="BC190" t="s">
        <v>1103</v>
      </c>
      <c r="BH190" t="s">
        <v>1103</v>
      </c>
      <c r="BN190" s="23" t="s">
        <v>645</v>
      </c>
      <c r="BT190" t="s">
        <v>68</v>
      </c>
    </row>
    <row r="191" spans="1:72" ht="12.95" customHeight="1">
      <c r="C191" s="21"/>
      <c r="D191" t="s">
        <v>472</v>
      </c>
      <c r="N191" s="1561" t="s">
        <v>2781</v>
      </c>
      <c r="O191" s="1449"/>
      <c r="P191" s="1449"/>
      <c r="Q191" s="1449"/>
      <c r="R191" s="1449"/>
      <c r="S191" s="1449"/>
      <c r="T191" s="1449"/>
      <c r="U191" s="1449"/>
      <c r="V191" s="1449"/>
      <c r="W191" s="1449"/>
      <c r="X191" s="1449"/>
      <c r="Y191" s="1449"/>
      <c r="Z191" s="1449"/>
      <c r="AA191" s="1449"/>
      <c r="AB191" s="1449"/>
      <c r="AC191" s="1449"/>
      <c r="AD191" s="1449"/>
      <c r="AE191" s="1449"/>
      <c r="BC191" t="s">
        <v>1102</v>
      </c>
      <c r="BH191" t="s">
        <v>1102</v>
      </c>
      <c r="BN191" s="23" t="s">
        <v>699</v>
      </c>
      <c r="BT191" t="s">
        <v>740</v>
      </c>
    </row>
    <row r="192" spans="1:72" ht="12.95" customHeight="1">
      <c r="C192" s="21"/>
      <c r="M192" s="40"/>
      <c r="N192" s="1450"/>
      <c r="O192" s="1450"/>
      <c r="P192" s="1450"/>
      <c r="Q192" s="1450"/>
      <c r="R192" s="1450"/>
      <c r="S192" s="1450"/>
      <c r="T192" s="1450"/>
      <c r="U192" s="1450"/>
      <c r="V192" s="1450"/>
      <c r="W192" s="1450"/>
      <c r="X192" s="1450"/>
      <c r="Y192" s="1450"/>
      <c r="Z192" s="1450"/>
      <c r="AA192" s="1450"/>
      <c r="AB192" s="1450"/>
      <c r="AC192" s="1450"/>
      <c r="AD192" s="1450"/>
      <c r="AE192" s="1450"/>
      <c r="BC192" t="s">
        <v>1105</v>
      </c>
      <c r="BH192" s="3" t="s">
        <v>1809</v>
      </c>
      <c r="BN192" s="23" t="s">
        <v>700</v>
      </c>
      <c r="BT192" t="s">
        <v>741</v>
      </c>
    </row>
    <row r="193" spans="1:74" ht="12.95" customHeight="1">
      <c r="C193" s="21"/>
      <c r="D193" t="s">
        <v>2497</v>
      </c>
      <c r="M193" s="40"/>
      <c r="N193" s="927"/>
      <c r="O193" s="927"/>
      <c r="P193" s="927"/>
      <c r="Q193" s="927"/>
      <c r="R193" s="927"/>
      <c r="S193" s="927"/>
      <c r="T193" s="1574" t="s">
        <v>2632</v>
      </c>
      <c r="U193" s="1574"/>
      <c r="V193" s="1574"/>
      <c r="W193" s="1574"/>
      <c r="X193" s="1574"/>
      <c r="Y193" s="1574"/>
      <c r="Z193" s="1574"/>
      <c r="AA193" s="1574"/>
      <c r="AB193" s="1574"/>
      <c r="AC193" s="1574"/>
      <c r="AD193" s="1574"/>
      <c r="AE193" s="1574"/>
      <c r="AF193" s="1574"/>
      <c r="AG193" s="1574"/>
      <c r="AH193" s="1574"/>
      <c r="AI193" s="1574"/>
      <c r="BC193" t="s">
        <v>1104</v>
      </c>
      <c r="BH193" s="3" t="s">
        <v>1810</v>
      </c>
      <c r="BN193" s="23" t="s">
        <v>701</v>
      </c>
      <c r="BT193" t="s">
        <v>742</v>
      </c>
    </row>
    <row r="194" spans="1:74" ht="12.95" customHeight="1">
      <c r="C194" s="21"/>
      <c r="D194" t="s">
        <v>333</v>
      </c>
      <c r="T194" s="1378" t="s">
        <v>679</v>
      </c>
      <c r="U194" s="1378"/>
      <c r="W194" t="s">
        <v>695</v>
      </c>
      <c r="AH194" s="1378">
        <v>27</v>
      </c>
      <c r="AI194" s="1378"/>
      <c r="BC194" t="s">
        <v>1538</v>
      </c>
      <c r="BN194" s="23" t="s">
        <v>702</v>
      </c>
      <c r="BT194" t="s">
        <v>743</v>
      </c>
    </row>
    <row r="195" spans="1:74" ht="12.95" customHeight="1">
      <c r="C195" s="21"/>
      <c r="D195" t="s">
        <v>388</v>
      </c>
      <c r="T195" s="1363" t="s">
        <v>555</v>
      </c>
      <c r="U195" s="1363"/>
      <c r="W195" t="s">
        <v>696</v>
      </c>
      <c r="AH195" s="1378">
        <v>39</v>
      </c>
      <c r="AI195" s="1378"/>
      <c r="BC195" t="s">
        <v>2121</v>
      </c>
      <c r="BN195" s="23" t="s">
        <v>244</v>
      </c>
      <c r="BT195" t="s">
        <v>744</v>
      </c>
    </row>
    <row r="196" spans="1:74" ht="12.95" customHeight="1">
      <c r="C196" s="21"/>
      <c r="D196" s="3" t="s">
        <v>170</v>
      </c>
      <c r="T196" s="1363" t="s">
        <v>679</v>
      </c>
      <c r="U196" s="1363"/>
      <c r="W196" t="s">
        <v>697</v>
      </c>
      <c r="AH196" s="1378">
        <v>21</v>
      </c>
      <c r="AI196" s="1378"/>
      <c r="BN196" s="23" t="s">
        <v>245</v>
      </c>
      <c r="BT196" t="s">
        <v>69</v>
      </c>
    </row>
    <row r="197" spans="1:74" ht="12.95" customHeight="1">
      <c r="C197" s="21"/>
      <c r="D197" s="3" t="s">
        <v>1834</v>
      </c>
      <c r="T197" s="1363"/>
      <c r="U197" s="1363"/>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3" t="s">
        <v>2498</v>
      </c>
      <c r="Y198" s="1378" t="s">
        <v>679</v>
      </c>
      <c r="Z198" s="1378"/>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8" t="s">
        <v>387</v>
      </c>
      <c r="E203" s="1518"/>
      <c r="F203" s="1518"/>
      <c r="G203" s="1518"/>
      <c r="H203" s="1518"/>
      <c r="I203" s="1518"/>
      <c r="J203" s="1518"/>
      <c r="K203" s="1518"/>
      <c r="L203" s="1518"/>
      <c r="M203" s="1518"/>
      <c r="P203" s="1555">
        <f>M26</f>
        <v>3358967</v>
      </c>
      <c r="Q203" s="1556"/>
      <c r="R203" s="1556"/>
      <c r="S203" s="1556"/>
      <c r="T203" s="1556"/>
      <c r="U203" s="1556"/>
      <c r="Z203" s="1576" t="s">
        <v>2633</v>
      </c>
      <c r="AA203" s="1576"/>
      <c r="AB203" s="1576"/>
      <c r="AC203" s="1576"/>
      <c r="AD203" s="1576"/>
      <c r="AE203" s="1576"/>
      <c r="AF203" s="1576"/>
      <c r="BC203" t="s">
        <v>1130</v>
      </c>
      <c r="BN203" s="23" t="s">
        <v>713</v>
      </c>
      <c r="BO203" s="14"/>
      <c r="BP203" s="32"/>
      <c r="BQ203" s="32"/>
      <c r="BR203" s="32"/>
      <c r="BS203" s="32"/>
      <c r="BT203" s="32" t="s">
        <v>198</v>
      </c>
    </row>
    <row r="204" spans="1:74" ht="12.95" customHeight="1">
      <c r="C204" s="21"/>
      <c r="D204" s="1575" t="s">
        <v>1404</v>
      </c>
      <c r="E204" s="1518"/>
      <c r="F204" s="1518"/>
      <c r="G204" s="1518"/>
      <c r="H204" s="1518"/>
      <c r="I204" s="1518"/>
      <c r="J204" s="1518"/>
      <c r="K204" s="1518"/>
      <c r="L204" s="1518"/>
      <c r="M204" s="1518"/>
      <c r="P204" s="1556">
        <f>M27</f>
        <v>13302649</v>
      </c>
      <c r="Q204" s="1556"/>
      <c r="R204" s="1556"/>
      <c r="S204" s="1556"/>
      <c r="T204" s="1556"/>
      <c r="U204" s="1556"/>
      <c r="V204" s="28"/>
      <c r="W204" s="3" t="s">
        <v>1982</v>
      </c>
      <c r="Z204" s="1576"/>
      <c r="AA204" s="1576"/>
      <c r="AB204" s="1576"/>
      <c r="AC204" s="1576"/>
      <c r="AD204" s="1576"/>
      <c r="AE204" s="1576"/>
      <c r="AF204" s="1576"/>
      <c r="AG204" t="s">
        <v>1405</v>
      </c>
      <c r="AP204" s="1378" t="s">
        <v>679</v>
      </c>
      <c r="AQ204" s="1378"/>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77"/>
      <c r="AA205" s="1577"/>
      <c r="AB205" s="1577"/>
      <c r="AC205" s="1577"/>
      <c r="AD205" s="1577"/>
      <c r="AE205" s="1577"/>
      <c r="AF205" s="1577"/>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436" t="s">
        <v>2634</v>
      </c>
      <c r="E207" s="1436"/>
      <c r="F207" s="1436"/>
      <c r="G207" s="1436"/>
      <c r="H207" s="1436"/>
      <c r="I207" s="1436"/>
      <c r="J207" s="1436"/>
      <c r="K207" s="1436"/>
      <c r="L207" s="1436"/>
      <c r="M207" s="1436"/>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436" t="s">
        <v>2121</v>
      </c>
      <c r="E210" s="1436"/>
      <c r="F210" s="1436"/>
      <c r="G210" s="1436"/>
      <c r="H210" s="1436"/>
      <c r="I210" s="1436"/>
      <c r="J210" s="1436"/>
      <c r="K210" s="1436"/>
      <c r="L210" s="1436"/>
      <c r="M210" s="1436"/>
      <c r="BN210" s="23" t="s">
        <v>48</v>
      </c>
      <c r="BT210" s="32" t="s">
        <v>204</v>
      </c>
    </row>
    <row r="211" spans="1:72" ht="12.95" customHeight="1">
      <c r="C211" s="21"/>
      <c r="D211" t="s">
        <v>1394</v>
      </c>
      <c r="Y211" s="1378"/>
      <c r="Z211" s="1378"/>
      <c r="AB211" s="1572">
        <f>IFERROR(Y211/AG439,"")</f>
        <v>0</v>
      </c>
      <c r="AC211" s="1573"/>
      <c r="BN211" s="23" t="s">
        <v>130</v>
      </c>
      <c r="BT211" s="32" t="s">
        <v>131</v>
      </c>
    </row>
    <row r="212" spans="1:72" ht="12.95" customHeight="1">
      <c r="D212" s="1195" t="s">
        <v>1808</v>
      </c>
      <c r="BC212" t="s">
        <v>309</v>
      </c>
      <c r="BN212" s="23" t="s">
        <v>49</v>
      </c>
      <c r="BT212" s="32" t="s">
        <v>205</v>
      </c>
    </row>
    <row r="213" spans="1:72" ht="12.95" customHeight="1">
      <c r="D213" s="1457" t="s">
        <v>601</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536</v>
      </c>
      <c r="BN213" s="23" t="s">
        <v>50</v>
      </c>
      <c r="BT213" s="32" t="s">
        <v>206</v>
      </c>
    </row>
    <row r="214" spans="1:72" ht="12.95" customHeight="1">
      <c r="D214" s="3" t="s">
        <v>1835</v>
      </c>
      <c r="Z214" s="40"/>
      <c r="AB214" s="1456"/>
      <c r="AC214" s="1456"/>
      <c r="AD214" s="1456"/>
      <c r="AE214" s="1456"/>
      <c r="AF214" s="1456"/>
      <c r="AG214" s="1456"/>
      <c r="AH214" s="1456"/>
      <c r="AI214" s="1456"/>
      <c r="AJ214" s="1456"/>
      <c r="AK214" s="1456"/>
      <c r="AL214" s="1456"/>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456"/>
      <c r="AC215" s="1456"/>
      <c r="AD215" s="1456"/>
      <c r="AE215" s="1456"/>
      <c r="AF215" s="1456"/>
      <c r="AG215" s="1456"/>
      <c r="AH215" s="1456"/>
      <c r="AI215" s="1456"/>
      <c r="AJ215" s="1456"/>
      <c r="AK215" s="1456"/>
      <c r="AL215" s="1456"/>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47" t="s">
        <v>904</v>
      </c>
      <c r="E219" s="1547"/>
      <c r="F219" s="1547"/>
      <c r="G219" s="1547"/>
      <c r="H219" s="1547"/>
      <c r="I219" s="1547"/>
      <c r="J219" s="1547"/>
      <c r="K219" s="1547"/>
      <c r="L219" s="1547"/>
      <c r="M219" s="1547"/>
      <c r="N219" s="1547"/>
      <c r="O219" s="1547"/>
      <c r="P219" s="1547"/>
      <c r="Q219" s="1547"/>
      <c r="R219" s="1547"/>
      <c r="S219" s="1547"/>
      <c r="T219" s="1547"/>
      <c r="U219" s="1547"/>
      <c r="V219" s="1547"/>
      <c r="W219" s="1547"/>
      <c r="X219" s="1547"/>
      <c r="Y219" s="1547"/>
      <c r="Z219" s="1547"/>
      <c r="AZ219" s="3"/>
      <c r="BA219" s="3"/>
      <c r="BC219" t="s">
        <v>379</v>
      </c>
    </row>
    <row r="220" spans="1:72" ht="12.95" customHeight="1">
      <c r="A220" s="2"/>
      <c r="B220" s="14"/>
      <c r="C220" s="2"/>
      <c r="BA220" s="3"/>
      <c r="BC220" t="s">
        <v>302</v>
      </c>
    </row>
    <row r="221" spans="1:72" ht="12.95" customHeight="1">
      <c r="A221" s="1446" t="s">
        <v>550</v>
      </c>
      <c r="B221" s="1446"/>
      <c r="C221" s="1446"/>
      <c r="D221" s="1446"/>
      <c r="E221" s="1446"/>
      <c r="F221" s="1446"/>
      <c r="G221" s="1446"/>
      <c r="H221" s="1446"/>
      <c r="I221" s="1446"/>
      <c r="J221" s="1446"/>
      <c r="K221" s="1446"/>
      <c r="L221" s="1446"/>
      <c r="M221" s="1446"/>
      <c r="N221" s="1446"/>
      <c r="O221" s="1446"/>
      <c r="P221" s="1446"/>
      <c r="Q221" s="1446"/>
      <c r="R221" s="1446"/>
      <c r="S221" s="1446"/>
      <c r="T221" s="1446"/>
      <c r="U221" s="1446"/>
      <c r="V221" s="1446"/>
      <c r="W221" s="1446"/>
      <c r="X221" s="1446"/>
      <c r="Y221" s="1446"/>
      <c r="Z221" s="1446"/>
      <c r="AA221" s="1446"/>
      <c r="AB221" s="1446"/>
      <c r="AC221" s="1446"/>
      <c r="AD221" s="1446"/>
      <c r="AE221" s="1446"/>
      <c r="AF221" s="1446"/>
      <c r="AG221" s="1446"/>
      <c r="AH221" s="1446"/>
      <c r="AI221" s="1446"/>
      <c r="AJ221" s="1446"/>
      <c r="AK221" s="1446"/>
      <c r="AL221" s="1446"/>
      <c r="AM221" s="95"/>
      <c r="AN221" s="95"/>
      <c r="AO221" s="95"/>
      <c r="AP221" s="95"/>
      <c r="AQ221" s="95"/>
      <c r="AR221" s="95"/>
      <c r="AS221" s="95"/>
      <c r="AT221" s="95"/>
      <c r="AU221" s="95"/>
      <c r="AV221" s="95"/>
      <c r="AW221" s="95"/>
      <c r="AX221" s="95"/>
      <c r="AY221" s="95"/>
      <c r="BA221" s="3"/>
    </row>
    <row r="222" spans="1:72" ht="12.95" customHeight="1" thickBot="1">
      <c r="A222" s="1447"/>
      <c r="B222" s="1447"/>
      <c r="C222" s="1447"/>
      <c r="D222" s="1447"/>
      <c r="E222" s="1447"/>
      <c r="F222" s="1447"/>
      <c r="G222" s="1447"/>
      <c r="H222" s="1447"/>
      <c r="I222" s="1447"/>
      <c r="J222" s="1447"/>
      <c r="K222" s="1447"/>
      <c r="L222" s="1447"/>
      <c r="M222" s="1447"/>
      <c r="N222" s="1447"/>
      <c r="O222" s="1447"/>
      <c r="P222" s="1447"/>
      <c r="Q222" s="1447"/>
      <c r="R222" s="1447"/>
      <c r="S222" s="1447"/>
      <c r="T222" s="1447"/>
      <c r="U222" s="1447"/>
      <c r="V222" s="1447"/>
      <c r="W222" s="1447"/>
      <c r="X222" s="1447"/>
      <c r="Y222" s="1447"/>
      <c r="Z222" s="1447"/>
      <c r="AA222" s="1447"/>
      <c r="AB222" s="1447"/>
      <c r="AC222" s="1447"/>
      <c r="AD222" s="1447"/>
      <c r="AE222" s="1447"/>
      <c r="AF222" s="1447"/>
      <c r="AG222" s="1447"/>
      <c r="AH222" s="1447"/>
      <c r="AI222" s="1447"/>
      <c r="AJ222" s="1447"/>
      <c r="AK222" s="1447"/>
      <c r="AL222" s="1447"/>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2499</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8" t="s">
        <v>555</v>
      </c>
      <c r="AJ225" s="1378"/>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8" t="s">
        <v>601</v>
      </c>
      <c r="AJ226" s="1378"/>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8" t="s">
        <v>601</v>
      </c>
      <c r="AJ227" s="1378"/>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8" t="s">
        <v>601</v>
      </c>
      <c r="AJ228" s="1378"/>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2500</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60" t="str">
        <f>H16</f>
        <v>Maisons Sierra Phase 1, LP</v>
      </c>
      <c r="N231" s="1560"/>
      <c r="O231" s="1560"/>
      <c r="P231" s="1560"/>
      <c r="Q231" s="1560"/>
      <c r="R231" s="1560"/>
      <c r="S231" s="1560"/>
      <c r="T231" s="1560"/>
      <c r="U231" s="1560"/>
      <c r="V231" s="1560"/>
      <c r="W231" s="1560"/>
      <c r="X231" s="1560"/>
      <c r="Y231" s="1560"/>
      <c r="Z231" s="1560"/>
      <c r="AA231" s="1560"/>
      <c r="AB231" s="1560"/>
      <c r="AC231" s="1560"/>
      <c r="AD231" s="1560"/>
      <c r="AE231" s="1560"/>
      <c r="AF231" s="1560"/>
      <c r="AG231" s="1560"/>
      <c r="AH231" s="1560"/>
      <c r="AI231" s="1560"/>
      <c r="AJ231" s="1560"/>
      <c r="AK231" s="1560"/>
      <c r="BA231" s="3"/>
      <c r="BB231" s="218"/>
      <c r="BG231" s="218"/>
      <c r="BQ231" s="34"/>
    </row>
    <row r="232" spans="1:69" ht="12.95" customHeight="1">
      <c r="D232" s="4" t="s">
        <v>86</v>
      </c>
      <c r="E232" s="4"/>
      <c r="F232" s="4"/>
      <c r="G232" s="4"/>
      <c r="H232" s="4"/>
      <c r="I232" s="4"/>
      <c r="J232" s="4"/>
      <c r="K232" s="4"/>
      <c r="M232" s="1436" t="s">
        <v>2635</v>
      </c>
      <c r="N232" s="1436"/>
      <c r="O232" s="1436"/>
      <c r="P232" s="1436"/>
      <c r="Q232" s="1436"/>
      <c r="R232" s="1436"/>
      <c r="S232" s="1436"/>
      <c r="T232" s="1436"/>
      <c r="U232" s="1436"/>
      <c r="V232" s="1436"/>
      <c r="W232" s="1436"/>
      <c r="X232" s="1436"/>
      <c r="Y232" s="1436"/>
      <c r="Z232" s="1436"/>
      <c r="AA232" s="1436"/>
      <c r="AB232" s="1436"/>
      <c r="AC232" s="1436"/>
      <c r="AD232" s="1436"/>
      <c r="AE232" s="1436"/>
      <c r="AZ232" s="4"/>
      <c r="BA232" s="3"/>
      <c r="BB232" s="219" t="s">
        <v>548</v>
      </c>
      <c r="BG232" s="259">
        <f>IF(AND(AND($M$248="nonprofit",$M$256="nonprofit",$M$264="for profit")),2,0)</f>
        <v>0</v>
      </c>
      <c r="BQ232" s="34"/>
    </row>
    <row r="233" spans="1:69" ht="12.95" customHeight="1">
      <c r="D233" s="4" t="s">
        <v>590</v>
      </c>
      <c r="E233" s="4"/>
      <c r="M233" s="1436" t="s">
        <v>2636</v>
      </c>
      <c r="N233" s="1547"/>
      <c r="O233" s="1547"/>
      <c r="P233" s="1547"/>
      <c r="Q233" s="1547"/>
      <c r="R233" s="1547"/>
      <c r="S233" s="1547"/>
      <c r="T233" s="1547"/>
      <c r="V233" s="33" t="s">
        <v>87</v>
      </c>
      <c r="W233" s="1390" t="s">
        <v>2637</v>
      </c>
      <c r="X233" s="1422"/>
      <c r="Y233" s="4" t="s">
        <v>593</v>
      </c>
      <c r="AC233" s="1547">
        <v>90266</v>
      </c>
      <c r="AD233" s="1547"/>
      <c r="AE233" s="1547"/>
      <c r="BB233" s="219" t="s">
        <v>548</v>
      </c>
      <c r="BG233" s="259">
        <f>IF(AND(AND($M$248="nonprofit",$M$256="for profit",$M$264="nonprofit")),2,0)</f>
        <v>0</v>
      </c>
    </row>
    <row r="234" spans="1:69" ht="12.95" customHeight="1">
      <c r="D234" s="4" t="s">
        <v>88</v>
      </c>
      <c r="E234" s="4"/>
      <c r="F234" s="4"/>
      <c r="G234" s="4"/>
      <c r="H234" s="4"/>
      <c r="I234" s="4"/>
      <c r="J234" s="4"/>
      <c r="K234" s="19"/>
      <c r="M234" s="1436" t="s">
        <v>2638</v>
      </c>
      <c r="N234" s="1436"/>
      <c r="O234" s="1436"/>
      <c r="P234" s="1436"/>
      <c r="Q234" s="1436"/>
      <c r="R234" s="1436"/>
      <c r="S234" s="1436"/>
      <c r="T234" s="1436"/>
      <c r="U234" s="1436"/>
      <c r="V234" s="1436"/>
      <c r="W234" s="1436"/>
      <c r="X234" s="1436"/>
      <c r="Y234" s="1436"/>
      <c r="Z234" s="1436"/>
      <c r="AA234" s="1436"/>
      <c r="AB234" s="1436"/>
      <c r="AC234" s="1436"/>
      <c r="AD234" s="1436"/>
      <c r="AE234" s="1436"/>
      <c r="AI234" s="3"/>
      <c r="AJ234" s="3"/>
      <c r="AK234" s="3"/>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63" t="s">
        <v>2639</v>
      </c>
      <c r="N235" s="1463"/>
      <c r="O235" s="1463"/>
      <c r="P235" s="1463"/>
      <c r="Q235" s="1463"/>
      <c r="R235" s="1463"/>
      <c r="S235" s="3" t="s">
        <v>208</v>
      </c>
      <c r="T235" s="3"/>
      <c r="U235" s="1390"/>
      <c r="V235" s="1390"/>
      <c r="W235" s="1390"/>
      <c r="X235" s="3" t="s">
        <v>90</v>
      </c>
      <c r="Z235" s="1463"/>
      <c r="AA235" s="1463"/>
      <c r="AB235" s="1463"/>
      <c r="AC235" s="1463"/>
      <c r="AD235" s="1463"/>
      <c r="AE235" s="1463"/>
      <c r="BB235" s="219"/>
      <c r="BG235" s="218"/>
    </row>
    <row r="236" spans="1:69" ht="12.95" customHeight="1">
      <c r="D236" s="4" t="s">
        <v>91</v>
      </c>
      <c r="E236" s="4"/>
      <c r="F236" s="4"/>
      <c r="M236" s="325" t="s">
        <v>2640</v>
      </c>
      <c r="N236" s="325"/>
      <c r="O236" s="325"/>
      <c r="P236" s="325"/>
      <c r="Q236" s="325"/>
      <c r="R236" s="325"/>
      <c r="S236" s="325"/>
      <c r="T236" s="325"/>
      <c r="U236" s="325"/>
      <c r="V236" s="325"/>
      <c r="W236" s="325"/>
      <c r="X236" s="325"/>
      <c r="Y236" s="325"/>
      <c r="Z236" s="325"/>
      <c r="AA236" s="325"/>
      <c r="AB236" s="325"/>
      <c r="AC236" s="325"/>
      <c r="AD236" s="325"/>
      <c r="AE236" s="325"/>
      <c r="AF236" s="3"/>
      <c r="AG236" s="3"/>
      <c r="AH236" s="3"/>
      <c r="AI236" s="3"/>
      <c r="AJ236" s="3"/>
      <c r="AK236" s="3"/>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74" t="s">
        <v>302</v>
      </c>
      <c r="N237" s="1374"/>
      <c r="O237" s="1374"/>
      <c r="P237" s="1374"/>
      <c r="Q237" s="1374"/>
      <c r="R237" s="1374"/>
      <c r="S237" s="1374"/>
      <c r="T237" s="1374"/>
      <c r="U237" s="511" t="s">
        <v>940</v>
      </c>
      <c r="V237" s="511"/>
      <c r="W237" s="511"/>
      <c r="X237" s="511"/>
      <c r="Y237" s="511"/>
      <c r="Z237" s="511"/>
      <c r="AA237" s="1546" t="s">
        <v>2641</v>
      </c>
      <c r="AB237" s="1546"/>
      <c r="AC237" s="1546"/>
      <c r="AD237" s="1546"/>
      <c r="AE237" s="1546"/>
      <c r="AF237" s="1546"/>
      <c r="AG237" s="1546"/>
      <c r="AH237" s="1546"/>
      <c r="AI237" s="1546"/>
      <c r="AJ237" s="1546"/>
      <c r="AK237" s="1546"/>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1" t="s">
        <v>2642</v>
      </c>
      <c r="N238" s="1391"/>
      <c r="O238" s="1391"/>
      <c r="P238" s="1391"/>
      <c r="Q238" s="1391"/>
      <c r="R238" s="1391"/>
      <c r="S238" s="1391"/>
      <c r="T238" s="1391"/>
      <c r="U238" s="1391"/>
      <c r="V238" s="1391"/>
      <c r="W238" s="1391"/>
      <c r="X238" s="1391"/>
      <c r="Y238" s="1391"/>
      <c r="Z238" s="1391"/>
      <c r="AA238" s="1391"/>
      <c r="AB238" s="1391"/>
      <c r="AC238" s="1391"/>
      <c r="AD238" s="1391"/>
      <c r="AE238" s="1391"/>
      <c r="AF238" s="3"/>
      <c r="AG238" s="3"/>
      <c r="AH238" s="3"/>
      <c r="AI238" s="3"/>
      <c r="AJ238" s="3"/>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49" t="s">
        <v>2643</v>
      </c>
      <c r="N242" s="1549"/>
      <c r="O242" s="1549"/>
      <c r="P242" s="1549"/>
      <c r="Q242" s="1549"/>
      <c r="R242" s="1549"/>
      <c r="S242" s="1549"/>
      <c r="T242" s="1549"/>
      <c r="U242" s="1549"/>
      <c r="V242" s="1549"/>
      <c r="W242" s="1549"/>
      <c r="X242" s="1549"/>
      <c r="Y242" s="1549"/>
      <c r="Z242" s="1549"/>
      <c r="AA242" s="1549"/>
      <c r="AB242" s="1549"/>
      <c r="AC242" s="1549"/>
      <c r="AD242" s="1549"/>
      <c r="AE242" s="1549"/>
      <c r="AF242" s="1549" t="s">
        <v>2644</v>
      </c>
      <c r="AG242" s="1549"/>
      <c r="AH242" s="1549"/>
      <c r="AI242" s="1549"/>
      <c r="AJ242" s="1549"/>
      <c r="AK242" s="1549"/>
      <c r="BO242" s="34"/>
      <c r="BP242" s="4"/>
      <c r="BQ242" s="4"/>
      <c r="BR242" s="4"/>
      <c r="BS242" s="4"/>
    </row>
    <row r="243" spans="1:71" ht="12.95" customHeight="1">
      <c r="A243" s="19"/>
      <c r="B243" s="4"/>
      <c r="C243" s="4"/>
      <c r="D243" s="4" t="s">
        <v>86</v>
      </c>
      <c r="E243" s="4"/>
      <c r="F243" s="4"/>
      <c r="G243" s="4"/>
      <c r="H243" s="4"/>
      <c r="I243" s="4"/>
      <c r="J243" s="4"/>
      <c r="K243" s="4"/>
      <c r="L243" s="4"/>
      <c r="M243" s="1436" t="s">
        <v>2635</v>
      </c>
      <c r="N243" s="1436"/>
      <c r="O243" s="1436"/>
      <c r="P243" s="1436"/>
      <c r="Q243" s="1436"/>
      <c r="R243" s="1436"/>
      <c r="S243" s="1436"/>
      <c r="T243" s="1436"/>
      <c r="U243" s="1436"/>
      <c r="V243" s="1436"/>
      <c r="W243" s="1436"/>
      <c r="X243" s="1436"/>
      <c r="Y243" s="1436"/>
      <c r="Z243" s="1436"/>
      <c r="AA243" s="1436"/>
      <c r="AB243" s="1436"/>
      <c r="AC243" s="1436"/>
      <c r="AD243" s="1436"/>
      <c r="AE243" s="1436"/>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436" t="s">
        <v>2636</v>
      </c>
      <c r="N244" s="1436"/>
      <c r="O244" s="1436"/>
      <c r="P244" s="1436"/>
      <c r="Q244" s="1436"/>
      <c r="R244" s="1436"/>
      <c r="S244" s="1436"/>
      <c r="T244" s="1436"/>
      <c r="V244" s="1073" t="s">
        <v>87</v>
      </c>
      <c r="W244" s="1390" t="s">
        <v>2637</v>
      </c>
      <c r="X244" s="1390"/>
      <c r="Y244" s="3" t="s">
        <v>593</v>
      </c>
      <c r="AC244" s="1436">
        <v>90266</v>
      </c>
      <c r="AD244" s="1436"/>
      <c r="AE244" s="1436"/>
      <c r="AF244" s="3" t="s">
        <v>1324</v>
      </c>
      <c r="BB244" t="s">
        <v>309</v>
      </c>
      <c r="BG244">
        <v>1</v>
      </c>
      <c r="BH244" t="s">
        <v>544</v>
      </c>
    </row>
    <row r="245" spans="1:71" ht="12.95" customHeight="1">
      <c r="A245" s="19"/>
      <c r="B245" s="4"/>
      <c r="C245" s="4"/>
      <c r="D245" s="4" t="s">
        <v>88</v>
      </c>
      <c r="E245" s="4"/>
      <c r="F245" s="4"/>
      <c r="G245" s="4"/>
      <c r="H245" s="4"/>
      <c r="I245" s="4"/>
      <c r="J245" s="4"/>
      <c r="K245" s="4"/>
      <c r="L245" s="19"/>
      <c r="M245" s="1436" t="s">
        <v>2645</v>
      </c>
      <c r="N245" s="1436"/>
      <c r="O245" s="1436"/>
      <c r="P245" s="1436"/>
      <c r="Q245" s="1436"/>
      <c r="R245" s="1436"/>
      <c r="S245" s="1436"/>
      <c r="T245" s="1436"/>
      <c r="U245" s="1436"/>
      <c r="V245" s="1436"/>
      <c r="W245" s="1436"/>
      <c r="X245" s="1436"/>
      <c r="Y245" s="1436"/>
      <c r="Z245" s="1436"/>
      <c r="AA245" s="1436"/>
      <c r="AB245" s="1436"/>
      <c r="AC245" s="1436"/>
      <c r="AD245" s="1436"/>
      <c r="AE245" s="1436"/>
      <c r="AH245" s="1434">
        <v>9.0000000000000006E-5</v>
      </c>
      <c r="AI245" s="1435"/>
      <c r="AJ245" s="1435"/>
      <c r="AK245" s="1435"/>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63" t="s">
        <v>2646</v>
      </c>
      <c r="N246" s="1463"/>
      <c r="O246" s="1463"/>
      <c r="P246" s="1463"/>
      <c r="Q246" s="1463"/>
      <c r="R246" s="1463"/>
      <c r="S246" s="3" t="s">
        <v>208</v>
      </c>
      <c r="T246" s="3"/>
      <c r="U246" s="1390"/>
      <c r="V246" s="1390"/>
      <c r="W246" s="1390"/>
      <c r="X246" s="3" t="s">
        <v>90</v>
      </c>
      <c r="Z246" s="1463"/>
      <c r="AA246" s="1463"/>
      <c r="AB246" s="1463"/>
      <c r="AC246" s="1463"/>
      <c r="AD246" s="1463"/>
      <c r="AE246" s="1463"/>
      <c r="BB246" s="4" t="s">
        <v>174</v>
      </c>
      <c r="BG246">
        <v>3</v>
      </c>
      <c r="BH246" t="s">
        <v>546</v>
      </c>
      <c r="BN246" s="34"/>
    </row>
    <row r="247" spans="1:71" ht="12.95" customHeight="1">
      <c r="A247" s="19"/>
      <c r="B247" s="4"/>
      <c r="C247" s="4"/>
      <c r="D247" s="4" t="s">
        <v>91</v>
      </c>
      <c r="E247" s="4"/>
      <c r="F247" s="4"/>
      <c r="M247" s="1539" t="s">
        <v>2647</v>
      </c>
      <c r="N247" s="1539"/>
      <c r="O247" s="1539"/>
      <c r="P247" s="1539"/>
      <c r="Q247" s="1539"/>
      <c r="R247" s="1539"/>
      <c r="S247" s="1539"/>
      <c r="T247" s="1539"/>
      <c r="U247" s="1539"/>
      <c r="V247" s="1539"/>
      <c r="W247" s="1539"/>
      <c r="X247" s="1539"/>
      <c r="Y247" s="1539"/>
      <c r="Z247" s="1539"/>
      <c r="AA247" s="1539"/>
      <c r="AB247" s="1539"/>
      <c r="AC247" s="1539"/>
      <c r="AD247" s="1539"/>
      <c r="AE247" s="1539"/>
      <c r="AG247" s="3"/>
      <c r="AH247" s="3"/>
      <c r="AI247" s="3"/>
      <c r="AJ247" s="3"/>
      <c r="AK247" s="3"/>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74" t="s">
        <v>546</v>
      </c>
      <c r="N248" s="1374"/>
      <c r="O248" s="1374"/>
      <c r="P248" s="1374"/>
      <c r="Q248" s="1374"/>
      <c r="R248" s="1374"/>
      <c r="S248" s="1374"/>
      <c r="T248" s="1374"/>
      <c r="U248" s="511" t="s">
        <v>940</v>
      </c>
      <c r="V248" s="511"/>
      <c r="W248" s="511"/>
      <c r="X248" s="511"/>
      <c r="Y248" s="511"/>
      <c r="Z248" s="511"/>
      <c r="AA248" s="1546" t="s">
        <v>2641</v>
      </c>
      <c r="AB248" s="1546"/>
      <c r="AC248" s="1546"/>
      <c r="AD248" s="1546"/>
      <c r="AE248" s="1546"/>
      <c r="AF248" s="1546"/>
      <c r="AG248" s="1546"/>
      <c r="AH248" s="1546"/>
      <c r="AI248" s="1546"/>
      <c r="AJ248" s="1546"/>
      <c r="AK248" s="1546"/>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49" t="s">
        <v>2648</v>
      </c>
      <c r="N250" s="1549"/>
      <c r="O250" s="1549"/>
      <c r="P250" s="1549"/>
      <c r="Q250" s="1549"/>
      <c r="R250" s="1549"/>
      <c r="S250" s="1549"/>
      <c r="T250" s="1549"/>
      <c r="U250" s="1549"/>
      <c r="V250" s="1549"/>
      <c r="W250" s="1549"/>
      <c r="X250" s="1549"/>
      <c r="Y250" s="1549"/>
      <c r="Z250" s="1549"/>
      <c r="AA250" s="1549"/>
      <c r="AB250" s="1549"/>
      <c r="AC250" s="1549"/>
      <c r="AD250" s="1549"/>
      <c r="AE250" s="1549"/>
      <c r="AF250" s="1549" t="s">
        <v>2649</v>
      </c>
      <c r="AG250" s="1549"/>
      <c r="AH250" s="1549"/>
      <c r="AI250" s="1549"/>
      <c r="AJ250" s="1549"/>
      <c r="AK250" s="1549"/>
      <c r="BN250" s="34"/>
    </row>
    <row r="251" spans="1:71" ht="12.95" customHeight="1">
      <c r="A251" s="19"/>
      <c r="B251" s="4"/>
      <c r="C251" s="4"/>
      <c r="D251" s="4" t="s">
        <v>86</v>
      </c>
      <c r="E251" s="4"/>
      <c r="F251" s="4"/>
      <c r="G251" s="4"/>
      <c r="H251" s="4"/>
      <c r="I251" s="4"/>
      <c r="J251" s="4"/>
      <c r="K251" s="4"/>
      <c r="L251" s="4"/>
      <c r="M251" s="1436" t="s">
        <v>2650</v>
      </c>
      <c r="N251" s="1436"/>
      <c r="O251" s="1436"/>
      <c r="P251" s="1436"/>
      <c r="Q251" s="1436"/>
      <c r="R251" s="1436"/>
      <c r="S251" s="1436"/>
      <c r="T251" s="1436"/>
      <c r="U251" s="1436"/>
      <c r="V251" s="1436"/>
      <c r="W251" s="1436"/>
      <c r="X251" s="1436"/>
      <c r="Y251" s="1436"/>
      <c r="Z251" s="1436"/>
      <c r="AA251" s="1436"/>
      <c r="AB251" s="1436"/>
      <c r="AC251" s="1436"/>
      <c r="AD251" s="1436"/>
      <c r="AE251" s="1436"/>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436" t="s">
        <v>2651</v>
      </c>
      <c r="N252" s="1436"/>
      <c r="O252" s="1436"/>
      <c r="P252" s="1436"/>
      <c r="Q252" s="1436"/>
      <c r="R252" s="1436"/>
      <c r="S252" s="1436"/>
      <c r="T252" s="1436"/>
      <c r="V252" s="1073" t="s">
        <v>87</v>
      </c>
      <c r="W252" s="1390" t="s">
        <v>2637</v>
      </c>
      <c r="X252" s="1390"/>
      <c r="Y252" s="3" t="s">
        <v>593</v>
      </c>
      <c r="AC252" s="1436">
        <v>92660</v>
      </c>
      <c r="AD252" s="1436"/>
      <c r="AE252" s="1436"/>
      <c r="AF252" s="3" t="s">
        <v>1324</v>
      </c>
      <c r="BN252" s="34"/>
    </row>
    <row r="253" spans="1:71" ht="12.95" customHeight="1">
      <c r="A253" s="19"/>
      <c r="B253" s="4"/>
      <c r="C253" s="4"/>
      <c r="D253" s="4" t="s">
        <v>88</v>
      </c>
      <c r="E253" s="4"/>
      <c r="F253" s="4"/>
      <c r="G253" s="4"/>
      <c r="H253" s="4"/>
      <c r="I253" s="4"/>
      <c r="J253" s="4"/>
      <c r="K253" s="4"/>
      <c r="L253" s="19"/>
      <c r="M253" s="1436" t="s">
        <v>2652</v>
      </c>
      <c r="N253" s="1436"/>
      <c r="O253" s="1436"/>
      <c r="P253" s="1436"/>
      <c r="Q253" s="1436"/>
      <c r="R253" s="1436"/>
      <c r="S253" s="1436"/>
      <c r="T253" s="1436"/>
      <c r="U253" s="1436"/>
      <c r="V253" s="1436"/>
      <c r="W253" s="1436"/>
      <c r="X253" s="1436"/>
      <c r="Y253" s="1436"/>
      <c r="Z253" s="1436"/>
      <c r="AA253" s="1436"/>
      <c r="AB253" s="1436"/>
      <c r="AC253" s="1436"/>
      <c r="AD253" s="1436"/>
      <c r="AE253" s="1436"/>
      <c r="AH253" s="1434">
        <v>1.0000000000000001E-5</v>
      </c>
      <c r="AI253" s="1435"/>
      <c r="AJ253" s="1435"/>
      <c r="AK253" s="1435"/>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63" t="s">
        <v>2653</v>
      </c>
      <c r="N254" s="1463"/>
      <c r="O254" s="1463"/>
      <c r="P254" s="1463"/>
      <c r="Q254" s="1463"/>
      <c r="R254" s="1463"/>
      <c r="S254" s="3" t="s">
        <v>208</v>
      </c>
      <c r="T254" s="3"/>
      <c r="U254" s="1390">
        <v>320</v>
      </c>
      <c r="V254" s="1390"/>
      <c r="W254" s="1390"/>
      <c r="X254" s="3" t="s">
        <v>90</v>
      </c>
      <c r="Z254" s="1463" t="s">
        <v>2654</v>
      </c>
      <c r="AA254" s="1463"/>
      <c r="AB254" s="1463"/>
      <c r="AC254" s="1463"/>
      <c r="AD254" s="1463"/>
      <c r="AE254" s="1463"/>
    </row>
    <row r="255" spans="1:71" ht="12.95" customHeight="1">
      <c r="A255" s="19"/>
      <c r="B255" s="4"/>
      <c r="C255" s="4"/>
      <c r="D255" s="4" t="s">
        <v>91</v>
      </c>
      <c r="E255" s="4"/>
      <c r="F255" s="4"/>
      <c r="M255" s="1539" t="s">
        <v>2655</v>
      </c>
      <c r="N255" s="1539"/>
      <c r="O255" s="1539"/>
      <c r="P255" s="1539"/>
      <c r="Q255" s="1539"/>
      <c r="R255" s="1539"/>
      <c r="S255" s="1539"/>
      <c r="T255" s="1539"/>
      <c r="U255" s="1539"/>
      <c r="V255" s="1539"/>
      <c r="W255" s="1539"/>
      <c r="X255" s="1539"/>
      <c r="Y255" s="1539"/>
      <c r="Z255" s="1539"/>
      <c r="AA255" s="1539"/>
      <c r="AB255" s="1539"/>
      <c r="AC255" s="1539"/>
      <c r="AD255" s="1539"/>
      <c r="AE255" s="1539"/>
      <c r="AG255" s="3"/>
      <c r="AH255" s="3"/>
      <c r="AI255" s="3"/>
      <c r="AJ255" s="3"/>
      <c r="AK255" s="3"/>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74" t="s">
        <v>544</v>
      </c>
      <c r="N256" s="1374"/>
      <c r="O256" s="1374"/>
      <c r="P256" s="1374"/>
      <c r="Q256" s="1374"/>
      <c r="R256" s="1374"/>
      <c r="S256" s="1374"/>
      <c r="T256" s="1374"/>
      <c r="U256" s="511" t="s">
        <v>940</v>
      </c>
      <c r="V256" s="511"/>
      <c r="W256" s="511"/>
      <c r="X256" s="511"/>
      <c r="Y256" s="511"/>
      <c r="Z256" s="511"/>
      <c r="AA256" s="1546" t="s">
        <v>2656</v>
      </c>
      <c r="AB256" s="1546"/>
      <c r="AC256" s="1546"/>
      <c r="AD256" s="1546"/>
      <c r="AE256" s="1546"/>
      <c r="AF256" s="1546"/>
      <c r="AG256" s="1546"/>
      <c r="AH256" s="1546"/>
      <c r="AI256" s="1546"/>
      <c r="AJ256" s="1546"/>
      <c r="AK256" s="1546"/>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51"/>
      <c r="N258" s="1551"/>
      <c r="O258" s="1551"/>
      <c r="P258" s="1551"/>
      <c r="Q258" s="1551"/>
      <c r="R258" s="1551"/>
      <c r="S258" s="1551"/>
      <c r="T258" s="1551"/>
      <c r="U258" s="1551"/>
      <c r="V258" s="1551"/>
      <c r="W258" s="1551"/>
      <c r="X258" s="1551"/>
      <c r="Y258" s="1551"/>
      <c r="Z258" s="1551"/>
      <c r="AA258" s="1551"/>
      <c r="AB258" s="1551"/>
      <c r="AC258" s="1551"/>
      <c r="AD258" s="1551"/>
      <c r="AE258" s="1551"/>
      <c r="AF258" s="1551" t="s">
        <v>309</v>
      </c>
      <c r="AG258" s="1551"/>
      <c r="AH258" s="1551"/>
      <c r="AI258" s="1551"/>
      <c r="AJ258" s="1551"/>
      <c r="AK258" s="1551"/>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47"/>
      <c r="N259" s="1547"/>
      <c r="O259" s="1547"/>
      <c r="P259" s="1547"/>
      <c r="Q259" s="1547"/>
      <c r="R259" s="1547"/>
      <c r="S259" s="1547"/>
      <c r="T259" s="1547"/>
      <c r="U259" s="1547"/>
      <c r="V259" s="1547"/>
      <c r="W259" s="1547"/>
      <c r="X259" s="1547"/>
      <c r="Y259" s="1547"/>
      <c r="Z259" s="1547"/>
      <c r="AA259" s="1547"/>
      <c r="AB259" s="1547"/>
      <c r="AC259" s="1547"/>
      <c r="AD259" s="1547"/>
      <c r="AE259" s="1547"/>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47"/>
      <c r="N260" s="1547"/>
      <c r="O260" s="1547"/>
      <c r="P260" s="1547"/>
      <c r="Q260" s="1547"/>
      <c r="R260" s="1547"/>
      <c r="S260" s="1547"/>
      <c r="T260" s="1547"/>
      <c r="V260" s="33" t="s">
        <v>87</v>
      </c>
      <c r="W260" s="1422"/>
      <c r="X260" s="1422"/>
      <c r="Y260" s="4" t="s">
        <v>593</v>
      </c>
      <c r="AC260" s="1547"/>
      <c r="AD260" s="1547"/>
      <c r="AE260" s="1547"/>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47"/>
      <c r="N261" s="1547"/>
      <c r="O261" s="1547"/>
      <c r="P261" s="1547"/>
      <c r="Q261" s="1547"/>
      <c r="R261" s="1547"/>
      <c r="S261" s="1547"/>
      <c r="T261" s="1547"/>
      <c r="U261" s="1547"/>
      <c r="V261" s="1547"/>
      <c r="W261" s="1547"/>
      <c r="X261" s="1547"/>
      <c r="Y261" s="1547"/>
      <c r="Z261" s="1547"/>
      <c r="AA261" s="1547"/>
      <c r="AB261" s="1547"/>
      <c r="AC261" s="1547"/>
      <c r="AD261" s="1547"/>
      <c r="AE261" s="1547"/>
      <c r="AH261" s="1435"/>
      <c r="AI261" s="1435"/>
      <c r="AJ261" s="1435"/>
      <c r="AK261" s="1435"/>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9"/>
      <c r="N262" s="1439"/>
      <c r="O262" s="1439"/>
      <c r="P262" s="1439"/>
      <c r="Q262" s="1439"/>
      <c r="R262" s="1439"/>
      <c r="S262" s="4" t="s">
        <v>208</v>
      </c>
      <c r="T262" s="4"/>
      <c r="U262" s="1422"/>
      <c r="V262" s="1422"/>
      <c r="W262" s="1422"/>
      <c r="X262" s="4" t="s">
        <v>90</v>
      </c>
      <c r="Z262" s="1439"/>
      <c r="AA262" s="1439"/>
      <c r="AB262" s="1439"/>
      <c r="AC262" s="1439"/>
      <c r="AD262" s="1439"/>
      <c r="AE262" s="1439"/>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539"/>
      <c r="N263" s="1539"/>
      <c r="O263" s="1539"/>
      <c r="P263" s="1539"/>
      <c r="Q263" s="1539"/>
      <c r="R263" s="1539"/>
      <c r="S263" s="1539"/>
      <c r="T263" s="1539"/>
      <c r="U263" s="1539"/>
      <c r="V263" s="1539"/>
      <c r="W263" s="1539"/>
      <c r="X263" s="1539"/>
      <c r="Y263" s="1539"/>
      <c r="Z263" s="1539"/>
      <c r="AA263" s="1553"/>
      <c r="AB263" s="1553"/>
      <c r="AC263" s="1553"/>
      <c r="AD263" s="1553"/>
      <c r="AE263" s="1553"/>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74" t="s">
        <v>309</v>
      </c>
      <c r="N264" s="1374"/>
      <c r="O264" s="1374"/>
      <c r="P264" s="1374"/>
      <c r="Q264" s="1374"/>
      <c r="R264" s="1374"/>
      <c r="S264" s="1374"/>
      <c r="T264" s="1374"/>
      <c r="U264" s="218" t="s">
        <v>940</v>
      </c>
      <c r="V264" s="218"/>
      <c r="W264" s="218"/>
      <c r="X264" s="218"/>
      <c r="Y264" s="218"/>
      <c r="Z264" s="218"/>
      <c r="AA264" s="1578"/>
      <c r="AB264" s="1578"/>
      <c r="AC264" s="1578"/>
      <c r="AD264" s="1578"/>
      <c r="AE264" s="1578"/>
      <c r="AF264" s="1578"/>
      <c r="AG264" s="1578"/>
      <c r="AH264" s="1578"/>
      <c r="AI264" s="1578"/>
      <c r="AJ264" s="1578"/>
      <c r="AK264" s="1578"/>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52" t="str">
        <f>BO245</f>
        <v>Joint Venture</v>
      </c>
      <c r="U266" s="1552"/>
      <c r="V266" s="1552"/>
      <c r="W266" s="1552"/>
      <c r="X266" s="1552"/>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436" t="s">
        <v>282</v>
      </c>
      <c r="E269" s="1436"/>
      <c r="F269" s="1436"/>
      <c r="G269" s="1436"/>
      <c r="H269" s="1436"/>
      <c r="J269" t="s">
        <v>281</v>
      </c>
      <c r="X269" s="1550"/>
      <c r="Y269" s="1550"/>
      <c r="Z269" s="1550"/>
      <c r="AA269" s="1550"/>
      <c r="AB269" s="1550"/>
      <c r="AC269" s="1550"/>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49" t="s">
        <v>2657</v>
      </c>
      <c r="M273" s="1549"/>
      <c r="N273" s="1549"/>
      <c r="O273" s="1549"/>
      <c r="P273" s="1549"/>
      <c r="Q273" s="1549"/>
      <c r="R273" s="1549"/>
      <c r="S273" s="1549"/>
      <c r="T273" s="1549"/>
      <c r="U273" s="1549"/>
      <c r="V273" s="1549"/>
      <c r="W273" s="1549"/>
      <c r="X273" s="1549"/>
      <c r="Y273" s="1549"/>
      <c r="Z273" s="1549"/>
      <c r="AA273" s="1549"/>
      <c r="AB273" s="1549"/>
      <c r="AC273" s="1549"/>
      <c r="AD273" s="1549"/>
      <c r="AE273" s="1549"/>
      <c r="AF273" s="1549"/>
      <c r="AG273" s="1549"/>
      <c r="AH273" s="1549"/>
      <c r="AI273" s="1549"/>
      <c r="AJ273" s="1549"/>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436" t="s">
        <v>2658</v>
      </c>
      <c r="M274" s="1436"/>
      <c r="N274" s="1436"/>
      <c r="O274" s="1436"/>
      <c r="P274" s="1436"/>
      <c r="Q274" s="1436"/>
      <c r="R274" s="1436"/>
      <c r="S274" s="1436"/>
      <c r="T274" s="1436"/>
      <c r="U274" s="1436"/>
      <c r="V274" s="1436"/>
      <c r="W274" s="1436"/>
      <c r="X274" s="1436"/>
      <c r="Y274" s="1436"/>
      <c r="Z274" s="1436"/>
      <c r="AA274" s="1436"/>
      <c r="AB274" s="1436"/>
      <c r="AC274" s="1436"/>
      <c r="AD274" s="1436"/>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436" t="s">
        <v>2659</v>
      </c>
      <c r="M275" s="1436"/>
      <c r="N275" s="1436"/>
      <c r="O275" s="1436"/>
      <c r="P275" s="1436"/>
      <c r="Q275" s="1436"/>
      <c r="R275" s="1436"/>
      <c r="S275" s="1436"/>
      <c r="U275" s="1073" t="s">
        <v>87</v>
      </c>
      <c r="V275" s="1390" t="s">
        <v>2637</v>
      </c>
      <c r="W275" s="1390"/>
      <c r="X275" s="3" t="s">
        <v>593</v>
      </c>
      <c r="AB275" s="1436">
        <v>90210</v>
      </c>
      <c r="AC275" s="1436"/>
      <c r="AD275" s="1436"/>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436" t="s">
        <v>2638</v>
      </c>
      <c r="M276" s="1436"/>
      <c r="N276" s="1436"/>
      <c r="O276" s="1436"/>
      <c r="P276" s="1436"/>
      <c r="Q276" s="1436"/>
      <c r="R276" s="1436"/>
      <c r="S276" s="1436"/>
      <c r="T276" s="1436"/>
      <c r="U276" s="1436"/>
      <c r="V276" s="1436"/>
      <c r="W276" s="1436"/>
      <c r="X276" s="1436"/>
      <c r="Y276" s="1436"/>
      <c r="Z276" s="1436"/>
      <c r="AA276" s="1436"/>
      <c r="AB276" s="1436"/>
      <c r="AC276" s="1436"/>
      <c r="AD276" s="1436"/>
      <c r="AI276" s="3"/>
      <c r="AJ276" s="3"/>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63" t="s">
        <v>2639</v>
      </c>
      <c r="M277" s="1463"/>
      <c r="N277" s="1463"/>
      <c r="O277" s="1463"/>
      <c r="P277" s="1463"/>
      <c r="Q277" s="1463"/>
      <c r="R277" s="3" t="s">
        <v>208</v>
      </c>
      <c r="S277" s="3"/>
      <c r="T277" s="1390"/>
      <c r="U277" s="1390"/>
      <c r="V277" s="1390"/>
      <c r="W277" s="3" t="s">
        <v>90</v>
      </c>
      <c r="Y277" s="1463"/>
      <c r="Z277" s="1463"/>
      <c r="AA277" s="1463"/>
      <c r="AB277" s="1463"/>
      <c r="AC277" s="1463"/>
      <c r="AD277" s="1463"/>
      <c r="BN277" s="34"/>
    </row>
    <row r="278" spans="1:66" ht="12.95" customHeight="1">
      <c r="D278" s="4" t="s">
        <v>91</v>
      </c>
      <c r="E278" s="4"/>
      <c r="F278" s="4"/>
      <c r="L278" s="1539" t="s">
        <v>2640</v>
      </c>
      <c r="M278" s="1539"/>
      <c r="N278" s="1539"/>
      <c r="O278" s="1539"/>
      <c r="P278" s="1539"/>
      <c r="Q278" s="1539"/>
      <c r="R278" s="1539"/>
      <c r="S278" s="1539"/>
      <c r="T278" s="1539"/>
      <c r="U278" s="1539"/>
      <c r="V278" s="1539"/>
      <c r="W278" s="1539"/>
      <c r="X278" s="1539"/>
      <c r="Y278" s="1539"/>
      <c r="Z278" s="1539"/>
      <c r="AA278" s="1539"/>
      <c r="AB278" s="1539"/>
      <c r="AC278" s="1539"/>
      <c r="AD278" s="1539"/>
      <c r="AF278" s="3"/>
      <c r="AG278" s="3"/>
      <c r="AH278" s="3"/>
      <c r="AI278" s="3"/>
      <c r="AJ278" s="3"/>
      <c r="BN278" s="34"/>
    </row>
    <row r="279" spans="1:66" ht="12.95" customHeight="1">
      <c r="D279" s="3" t="s">
        <v>633</v>
      </c>
      <c r="E279" s="3"/>
      <c r="F279" s="3"/>
      <c r="G279" s="3"/>
      <c r="H279" s="3"/>
      <c r="I279" s="3"/>
      <c r="L279" s="1390" t="s">
        <v>2660</v>
      </c>
      <c r="M279" s="1390"/>
      <c r="N279" s="1390"/>
      <c r="O279" s="1390"/>
      <c r="P279" s="1390"/>
      <c r="Q279" s="1390"/>
      <c r="R279" s="1390"/>
      <c r="S279" s="1390"/>
      <c r="T279" s="1390"/>
      <c r="U279" s="1390"/>
      <c r="V279" s="1390"/>
      <c r="W279" s="1390"/>
      <c r="X279" s="1390"/>
      <c r="Y279" s="1390"/>
      <c r="Z279" s="1390"/>
      <c r="AA279" s="1390"/>
      <c r="AB279" s="1390"/>
      <c r="AC279" s="1390"/>
      <c r="AD279" s="1390"/>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6" t="s">
        <v>551</v>
      </c>
      <c r="B281" s="1446"/>
      <c r="C281" s="1446"/>
      <c r="D281" s="1446"/>
      <c r="E281" s="1446"/>
      <c r="F281" s="1446"/>
      <c r="G281" s="1446"/>
      <c r="H281" s="1446"/>
      <c r="I281" s="1446"/>
      <c r="J281" s="1446"/>
      <c r="K281" s="1446"/>
      <c r="L281" s="1446"/>
      <c r="M281" s="1446"/>
      <c r="N281" s="1446"/>
      <c r="O281" s="1446"/>
      <c r="P281" s="1446"/>
      <c r="Q281" s="1446"/>
      <c r="R281" s="1446"/>
      <c r="S281" s="1446"/>
      <c r="T281" s="1446"/>
      <c r="U281" s="1446"/>
      <c r="V281" s="1446"/>
      <c r="W281" s="1446"/>
      <c r="X281" s="1446"/>
      <c r="Y281" s="1446"/>
      <c r="Z281" s="1446"/>
      <c r="AA281" s="1446"/>
      <c r="AB281" s="1446"/>
      <c r="AC281" s="1446"/>
      <c r="AD281" s="1446"/>
      <c r="AE281" s="1446"/>
      <c r="AF281" s="1446"/>
      <c r="AG281" s="1446"/>
      <c r="AH281" s="1446"/>
      <c r="AI281" s="1446"/>
      <c r="AJ281" s="1446"/>
      <c r="AK281" s="1446"/>
      <c r="AL281" s="1446"/>
      <c r="AM281" s="95"/>
      <c r="AN281" s="95"/>
      <c r="AO281" s="95"/>
      <c r="AP281" s="95"/>
      <c r="AQ281" s="95"/>
      <c r="AR281" s="95"/>
      <c r="AS281" s="95"/>
      <c r="AT281" s="95"/>
      <c r="AU281" s="95"/>
      <c r="AV281" s="95"/>
      <c r="AW281" s="95"/>
      <c r="AX281" s="95"/>
      <c r="AY281" s="95"/>
      <c r="BN281" s="34"/>
    </row>
    <row r="282" spans="1:66" ht="12.95" customHeight="1" thickBot="1">
      <c r="A282" s="1447"/>
      <c r="B282" s="1447"/>
      <c r="C282" s="1447"/>
      <c r="D282" s="1447"/>
      <c r="E282" s="1447"/>
      <c r="F282" s="1447"/>
      <c r="G282" s="1447"/>
      <c r="H282" s="1447"/>
      <c r="I282" s="1447"/>
      <c r="J282" s="1447"/>
      <c r="K282" s="1447"/>
      <c r="L282" s="1447"/>
      <c r="M282" s="1447"/>
      <c r="N282" s="1447"/>
      <c r="O282" s="1447"/>
      <c r="P282" s="1447"/>
      <c r="Q282" s="1447"/>
      <c r="R282" s="1447"/>
      <c r="S282" s="1447"/>
      <c r="T282" s="1447"/>
      <c r="U282" s="1447"/>
      <c r="V282" s="1447"/>
      <c r="W282" s="1447"/>
      <c r="X282" s="1447"/>
      <c r="Y282" s="1447"/>
      <c r="Z282" s="1447"/>
      <c r="AA282" s="1447"/>
      <c r="AB282" s="1447"/>
      <c r="AC282" s="1447"/>
      <c r="AD282" s="1447"/>
      <c r="AE282" s="1447"/>
      <c r="AF282" s="1447"/>
      <c r="AG282" s="1447"/>
      <c r="AH282" s="1447"/>
      <c r="AI282" s="1447"/>
      <c r="AJ282" s="1447"/>
      <c r="AK282" s="1447"/>
      <c r="AL282" s="1447"/>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1" t="s">
        <v>2661</v>
      </c>
      <c r="I286" s="1391"/>
      <c r="J286" s="1391"/>
      <c r="K286" s="1391"/>
      <c r="L286" s="1391"/>
      <c r="M286" s="1391"/>
      <c r="N286" s="1391"/>
      <c r="O286" s="1391"/>
      <c r="P286" s="1391"/>
      <c r="Q286" s="1391"/>
      <c r="R286" s="1391"/>
      <c r="T286" s="3" t="s">
        <v>577</v>
      </c>
      <c r="V286" s="3"/>
      <c r="W286" s="3"/>
      <c r="X286" s="3"/>
      <c r="Y286" s="3"/>
      <c r="AA286" s="1391" t="s">
        <v>2685</v>
      </c>
      <c r="AB286" s="1391"/>
      <c r="AC286" s="1391"/>
      <c r="AD286" s="1391"/>
      <c r="AE286" s="1391"/>
      <c r="AF286" s="1391"/>
      <c r="AG286" s="1391"/>
      <c r="AH286" s="1391"/>
      <c r="AI286" s="1391"/>
      <c r="AJ286" s="1391"/>
      <c r="AK286" s="1391"/>
      <c r="BN286" s="34"/>
    </row>
    <row r="287" spans="1:66" ht="12.95" customHeight="1">
      <c r="B287" s="3" t="s">
        <v>481</v>
      </c>
      <c r="C287" s="3"/>
      <c r="D287" s="3"/>
      <c r="E287" s="3"/>
      <c r="F287" s="3"/>
      <c r="H287" s="1374" t="s">
        <v>2635</v>
      </c>
      <c r="I287" s="1374"/>
      <c r="J287" s="1374"/>
      <c r="K287" s="1374"/>
      <c r="L287" s="1374"/>
      <c r="M287" s="1374"/>
      <c r="N287" s="1374"/>
      <c r="O287" s="1374"/>
      <c r="P287" s="1374"/>
      <c r="Q287" s="1374"/>
      <c r="R287" s="1374"/>
      <c r="T287" s="3" t="s">
        <v>481</v>
      </c>
      <c r="V287" s="3"/>
      <c r="W287" s="3"/>
      <c r="X287" s="3"/>
      <c r="Y287" s="3"/>
      <c r="AA287" s="1374" t="s">
        <v>2686</v>
      </c>
      <c r="AB287" s="1374"/>
      <c r="AC287" s="1374"/>
      <c r="AD287" s="1374"/>
      <c r="AE287" s="1374"/>
      <c r="AF287" s="1374"/>
      <c r="AG287" s="1374"/>
      <c r="AH287" s="1374"/>
      <c r="AI287" s="1374"/>
      <c r="AJ287" s="1374"/>
      <c r="AK287" s="1374"/>
      <c r="BN287" s="34"/>
    </row>
    <row r="288" spans="1:66" ht="12.95" customHeight="1">
      <c r="B288" s="3" t="s">
        <v>482</v>
      </c>
      <c r="C288" s="3"/>
      <c r="D288" s="3"/>
      <c r="E288" s="3"/>
      <c r="F288" s="3"/>
      <c r="H288" s="1374" t="s">
        <v>2662</v>
      </c>
      <c r="I288" s="1374"/>
      <c r="J288" s="1374"/>
      <c r="K288" s="1374"/>
      <c r="L288" s="1374"/>
      <c r="M288" s="1374"/>
      <c r="N288" s="1374"/>
      <c r="O288" s="1374"/>
      <c r="P288" s="1374"/>
      <c r="Q288" s="1374"/>
      <c r="R288" s="1374"/>
      <c r="T288" s="3" t="s">
        <v>76</v>
      </c>
      <c r="V288" s="3"/>
      <c r="W288" s="3"/>
      <c r="X288" s="3"/>
      <c r="Y288" s="3"/>
      <c r="AA288" s="1374" t="s">
        <v>2687</v>
      </c>
      <c r="AB288" s="1374"/>
      <c r="AC288" s="1374"/>
      <c r="AD288" s="1374"/>
      <c r="AE288" s="1374"/>
      <c r="AF288" s="1374"/>
      <c r="AG288" s="1374"/>
      <c r="AH288" s="1374"/>
      <c r="AI288" s="1374"/>
      <c r="AJ288" s="1374"/>
      <c r="AK288" s="1374"/>
      <c r="BN288" s="34"/>
    </row>
    <row r="289" spans="2:66" ht="12.95" customHeight="1">
      <c r="B289" s="3" t="s">
        <v>88</v>
      </c>
      <c r="C289" s="3"/>
      <c r="D289" s="3"/>
      <c r="E289" s="3"/>
      <c r="F289" s="3"/>
      <c r="H289" s="1374" t="s">
        <v>2645</v>
      </c>
      <c r="I289" s="1374"/>
      <c r="J289" s="1374"/>
      <c r="K289" s="1374"/>
      <c r="L289" s="1374"/>
      <c r="M289" s="1374"/>
      <c r="N289" s="1374"/>
      <c r="O289" s="1374"/>
      <c r="P289" s="1374"/>
      <c r="Q289" s="1374"/>
      <c r="R289" s="1374"/>
      <c r="T289" s="3" t="s">
        <v>88</v>
      </c>
      <c r="V289" s="3"/>
      <c r="W289" s="3"/>
      <c r="X289" s="3"/>
      <c r="Y289" s="3"/>
      <c r="AA289" s="1374" t="s">
        <v>2688</v>
      </c>
      <c r="AB289" s="1374"/>
      <c r="AC289" s="1374"/>
      <c r="AD289" s="1374"/>
      <c r="AE289" s="1374"/>
      <c r="AF289" s="1374"/>
      <c r="AG289" s="1374"/>
      <c r="AH289" s="1374"/>
      <c r="AI289" s="1374"/>
      <c r="AJ289" s="1374"/>
      <c r="AK289" s="1374"/>
      <c r="BN289" s="34"/>
    </row>
    <row r="290" spans="2:66" ht="12.95" customHeight="1">
      <c r="B290" s="3" t="s">
        <v>89</v>
      </c>
      <c r="C290" s="3"/>
      <c r="D290" s="3"/>
      <c r="E290" s="3"/>
      <c r="F290" s="3"/>
      <c r="G290" s="3"/>
      <c r="H290" s="1548" t="s">
        <v>2646</v>
      </c>
      <c r="I290" s="1548"/>
      <c r="J290" s="1548"/>
      <c r="K290" s="1548"/>
      <c r="L290" s="1548"/>
      <c r="M290" s="1548"/>
      <c r="N290" s="3" t="s">
        <v>208</v>
      </c>
      <c r="O290" s="3"/>
      <c r="P290" s="1436"/>
      <c r="Q290" s="1436"/>
      <c r="R290" s="1436"/>
      <c r="S290" s="3"/>
      <c r="T290" s="3" t="s">
        <v>89</v>
      </c>
      <c r="V290" s="3"/>
      <c r="W290" s="3"/>
      <c r="X290" s="3"/>
      <c r="Y290" s="3"/>
      <c r="AA290" s="1548" t="s">
        <v>2689</v>
      </c>
      <c r="AB290" s="1548"/>
      <c r="AC290" s="1548"/>
      <c r="AD290" s="1548"/>
      <c r="AE290" s="1548"/>
      <c r="AF290" s="1548"/>
      <c r="AG290" s="3" t="s">
        <v>208</v>
      </c>
      <c r="AH290" s="3"/>
      <c r="AI290" s="1436"/>
      <c r="AJ290" s="1436"/>
      <c r="AK290" s="1436"/>
      <c r="BN290" s="34"/>
    </row>
    <row r="291" spans="2:66" ht="12.95" customHeight="1">
      <c r="B291" s="3" t="s">
        <v>90</v>
      </c>
      <c r="C291" s="3"/>
      <c r="D291" s="3"/>
      <c r="E291" s="3"/>
      <c r="F291" s="3"/>
      <c r="G291" s="3"/>
      <c r="H291" s="1463"/>
      <c r="I291" s="1463"/>
      <c r="J291" s="1463"/>
      <c r="K291" s="1463"/>
      <c r="L291" s="1463"/>
      <c r="M291" s="1463"/>
      <c r="N291" s="3"/>
      <c r="O291" s="3"/>
      <c r="P291" s="118"/>
      <c r="Q291" s="118"/>
      <c r="R291" s="118"/>
      <c r="S291" s="3"/>
      <c r="T291" s="3" t="s">
        <v>90</v>
      </c>
      <c r="V291" s="3"/>
      <c r="W291" s="3"/>
      <c r="X291" s="3"/>
      <c r="Y291" s="3"/>
      <c r="AA291" s="1463"/>
      <c r="AB291" s="1463"/>
      <c r="AC291" s="1463"/>
      <c r="AD291" s="1463"/>
      <c r="AE291" s="1463"/>
      <c r="AF291" s="1463"/>
      <c r="AG291" s="3"/>
      <c r="AH291" s="3"/>
      <c r="AI291" s="118"/>
      <c r="AJ291" s="118"/>
      <c r="AK291" s="118"/>
      <c r="BN291" s="34"/>
    </row>
    <row r="292" spans="2:66" ht="12.95" customHeight="1">
      <c r="B292" s="3" t="s">
        <v>77</v>
      </c>
      <c r="C292" s="3"/>
      <c r="D292" s="3"/>
      <c r="E292" s="3"/>
      <c r="F292" s="3"/>
      <c r="G292" s="3"/>
      <c r="H292" s="1374" t="s">
        <v>2663</v>
      </c>
      <c r="I292" s="1374"/>
      <c r="J292" s="1374"/>
      <c r="K292" s="1374"/>
      <c r="L292" s="1374"/>
      <c r="M292" s="1374"/>
      <c r="N292" s="1391"/>
      <c r="O292" s="1391"/>
      <c r="P292" s="1391"/>
      <c r="Q292" s="1391"/>
      <c r="R292" s="1391"/>
      <c r="S292" s="3"/>
      <c r="T292" s="3" t="s">
        <v>77</v>
      </c>
      <c r="V292" s="3"/>
      <c r="W292" s="3"/>
      <c r="X292" s="3"/>
      <c r="Y292" s="3"/>
      <c r="AA292" s="1374" t="s">
        <v>2690</v>
      </c>
      <c r="AB292" s="1374"/>
      <c r="AC292" s="1374"/>
      <c r="AD292" s="1374"/>
      <c r="AE292" s="1374"/>
      <c r="AF292" s="1374"/>
      <c r="AG292" s="1391"/>
      <c r="AH292" s="1391"/>
      <c r="AI292" s="1391"/>
      <c r="AJ292" s="1391"/>
      <c r="AK292" s="1391"/>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1" t="s">
        <v>2664</v>
      </c>
      <c r="I294" s="1391"/>
      <c r="J294" s="1391"/>
      <c r="K294" s="1391"/>
      <c r="L294" s="1391"/>
      <c r="M294" s="1391"/>
      <c r="N294" s="1391"/>
      <c r="O294" s="1391"/>
      <c r="P294" s="1391"/>
      <c r="Q294" s="1391"/>
      <c r="R294" s="1391"/>
      <c r="T294" s="3" t="s">
        <v>366</v>
      </c>
      <c r="V294" s="3"/>
      <c r="W294" s="3"/>
      <c r="X294" s="3"/>
      <c r="Y294" s="3"/>
      <c r="AA294" s="1391" t="s">
        <v>2691</v>
      </c>
      <c r="AB294" s="1391"/>
      <c r="AC294" s="1391"/>
      <c r="AD294" s="1391"/>
      <c r="AE294" s="1391"/>
      <c r="AF294" s="1391"/>
      <c r="AG294" s="1391"/>
      <c r="AH294" s="1391"/>
      <c r="AI294" s="1391"/>
      <c r="AJ294" s="1391"/>
      <c r="AK294" s="1391"/>
      <c r="BN294" s="34"/>
    </row>
    <row r="295" spans="2:66" ht="12.95" customHeight="1">
      <c r="B295" s="3" t="s">
        <v>481</v>
      </c>
      <c r="C295" s="3"/>
      <c r="D295" s="3"/>
      <c r="E295" s="3"/>
      <c r="F295" s="3"/>
      <c r="H295" s="1374" t="s">
        <v>2665</v>
      </c>
      <c r="I295" s="1374"/>
      <c r="J295" s="1374"/>
      <c r="K295" s="1374"/>
      <c r="L295" s="1374"/>
      <c r="M295" s="1374"/>
      <c r="N295" s="1374"/>
      <c r="O295" s="1374"/>
      <c r="P295" s="1374"/>
      <c r="Q295" s="1374"/>
      <c r="R295" s="1374"/>
      <c r="T295" s="3" t="s">
        <v>481</v>
      </c>
      <c r="V295" s="3"/>
      <c r="W295" s="3"/>
      <c r="X295" s="3"/>
      <c r="Y295" s="3"/>
      <c r="AA295" s="1374" t="str">
        <f>H287</f>
        <v>2007 Cedar Avenue</v>
      </c>
      <c r="AB295" s="1374"/>
      <c r="AC295" s="1374"/>
      <c r="AD295" s="1374"/>
      <c r="AE295" s="1374"/>
      <c r="AF295" s="1374"/>
      <c r="AG295" s="1374"/>
      <c r="AH295" s="1374"/>
      <c r="AI295" s="1374"/>
      <c r="AJ295" s="1374"/>
      <c r="AK295" s="1374"/>
      <c r="BN295" s="34"/>
    </row>
    <row r="296" spans="2:66" ht="12.95" customHeight="1">
      <c r="B296" s="3" t="s">
        <v>482</v>
      </c>
      <c r="C296" s="3"/>
      <c r="D296" s="3"/>
      <c r="E296" s="3"/>
      <c r="F296" s="3"/>
      <c r="H296" s="1374" t="s">
        <v>2666</v>
      </c>
      <c r="I296" s="1374"/>
      <c r="J296" s="1374"/>
      <c r="K296" s="1374"/>
      <c r="L296" s="1374"/>
      <c r="M296" s="1374"/>
      <c r="N296" s="1374"/>
      <c r="O296" s="1374"/>
      <c r="P296" s="1374"/>
      <c r="Q296" s="1374"/>
      <c r="R296" s="1374"/>
      <c r="T296" s="3" t="s">
        <v>76</v>
      </c>
      <c r="V296" s="3"/>
      <c r="W296" s="3"/>
      <c r="X296" s="3"/>
      <c r="Y296" s="3"/>
      <c r="AA296" s="1374" t="str">
        <f>H288</f>
        <v>Manhattan Beach, CA 90266</v>
      </c>
      <c r="AB296" s="1374"/>
      <c r="AC296" s="1374"/>
      <c r="AD296" s="1374"/>
      <c r="AE296" s="1374"/>
      <c r="AF296" s="1374"/>
      <c r="AG296" s="1374"/>
      <c r="AH296" s="1374"/>
      <c r="AI296" s="1374"/>
      <c r="AJ296" s="1374"/>
      <c r="AK296" s="1374"/>
      <c r="BN296" s="34"/>
    </row>
    <row r="297" spans="2:66" ht="12.95" customHeight="1">
      <c r="B297" s="3" t="s">
        <v>88</v>
      </c>
      <c r="C297" s="3"/>
      <c r="D297" s="3"/>
      <c r="E297" s="3"/>
      <c r="F297" s="3"/>
      <c r="H297" s="1374" t="s">
        <v>2667</v>
      </c>
      <c r="I297" s="1374"/>
      <c r="J297" s="1374"/>
      <c r="K297" s="1374"/>
      <c r="L297" s="1374"/>
      <c r="M297" s="1374"/>
      <c r="N297" s="1374"/>
      <c r="O297" s="1374"/>
      <c r="P297" s="1374"/>
      <c r="Q297" s="1374"/>
      <c r="R297" s="1374"/>
      <c r="T297" s="3" t="s">
        <v>88</v>
      </c>
      <c r="V297" s="3"/>
      <c r="W297" s="3"/>
      <c r="X297" s="3"/>
      <c r="Y297" s="3"/>
      <c r="AA297" s="1374" t="s">
        <v>2645</v>
      </c>
      <c r="AB297" s="1374"/>
      <c r="AC297" s="1374"/>
      <c r="AD297" s="1374"/>
      <c r="AE297" s="1374"/>
      <c r="AF297" s="1374"/>
      <c r="AG297" s="1374"/>
      <c r="AH297" s="1374"/>
      <c r="AI297" s="1374"/>
      <c r="AJ297" s="1374"/>
      <c r="AK297" s="1374"/>
      <c r="BN297" s="34"/>
    </row>
    <row r="298" spans="2:66" ht="12.95" customHeight="1">
      <c r="B298" s="3" t="s">
        <v>89</v>
      </c>
      <c r="C298" s="3"/>
      <c r="D298" s="3"/>
      <c r="E298" s="3"/>
      <c r="F298" s="3"/>
      <c r="G298" s="3"/>
      <c r="H298" s="1548" t="s">
        <v>2668</v>
      </c>
      <c r="I298" s="1548"/>
      <c r="J298" s="1548"/>
      <c r="K298" s="1548"/>
      <c r="L298" s="1548"/>
      <c r="M298" s="1548"/>
      <c r="N298" s="3" t="s">
        <v>208</v>
      </c>
      <c r="O298" s="3"/>
      <c r="P298" s="1436">
        <v>8</v>
      </c>
      <c r="Q298" s="1436"/>
      <c r="R298" s="1436"/>
      <c r="S298" s="3"/>
      <c r="T298" s="3" t="s">
        <v>89</v>
      </c>
      <c r="V298" s="3"/>
      <c r="W298" s="3"/>
      <c r="X298" s="3"/>
      <c r="Y298" s="3"/>
      <c r="AA298" s="1548" t="s">
        <v>2646</v>
      </c>
      <c r="AB298" s="1548"/>
      <c r="AC298" s="1548"/>
      <c r="AD298" s="1548"/>
      <c r="AE298" s="1548"/>
      <c r="AF298" s="1548"/>
      <c r="AG298" s="3" t="s">
        <v>208</v>
      </c>
      <c r="AH298" s="3"/>
      <c r="AI298" s="1436"/>
      <c r="AJ298" s="1436"/>
      <c r="AK298" s="1436"/>
      <c r="BN298" s="34"/>
    </row>
    <row r="299" spans="2:66" ht="12.95" customHeight="1">
      <c r="B299" s="3" t="s">
        <v>90</v>
      </c>
      <c r="C299" s="3"/>
      <c r="D299" s="3"/>
      <c r="E299" s="3"/>
      <c r="F299" s="3"/>
      <c r="G299" s="3"/>
      <c r="H299" s="1463"/>
      <c r="I299" s="1463"/>
      <c r="J299" s="1463"/>
      <c r="K299" s="1463"/>
      <c r="L299" s="1463"/>
      <c r="M299" s="1463"/>
      <c r="N299" s="3"/>
      <c r="O299" s="3"/>
      <c r="P299" s="118"/>
      <c r="Q299" s="118"/>
      <c r="R299" s="118"/>
      <c r="S299" s="3"/>
      <c r="T299" s="3" t="s">
        <v>90</v>
      </c>
      <c r="V299" s="3"/>
      <c r="W299" s="3"/>
      <c r="X299" s="3"/>
      <c r="Y299" s="3"/>
      <c r="AA299" s="1463"/>
      <c r="AB299" s="1463"/>
      <c r="AC299" s="1463"/>
      <c r="AD299" s="1463"/>
      <c r="AE299" s="1463"/>
      <c r="AF299" s="1463"/>
      <c r="AG299" s="3"/>
      <c r="AH299" s="3"/>
      <c r="AI299" s="118"/>
      <c r="AJ299" s="118"/>
      <c r="AK299" s="118"/>
      <c r="BN299" s="34"/>
    </row>
    <row r="300" spans="2:66" ht="12.95" customHeight="1">
      <c r="B300" s="3" t="s">
        <v>77</v>
      </c>
      <c r="C300" s="3"/>
      <c r="D300" s="3"/>
      <c r="E300" s="3"/>
      <c r="F300" s="3"/>
      <c r="G300" s="3"/>
      <c r="H300" s="1374" t="s">
        <v>2669</v>
      </c>
      <c r="I300" s="1374"/>
      <c r="J300" s="1374"/>
      <c r="K300" s="1374"/>
      <c r="L300" s="1374"/>
      <c r="M300" s="1374"/>
      <c r="N300" s="1391"/>
      <c r="O300" s="1391"/>
      <c r="P300" s="1391"/>
      <c r="Q300" s="1391"/>
      <c r="R300" s="1391"/>
      <c r="S300" s="3"/>
      <c r="T300" s="3" t="s">
        <v>77</v>
      </c>
      <c r="V300" s="3"/>
      <c r="W300" s="3"/>
      <c r="X300" s="3"/>
      <c r="Y300" s="3"/>
      <c r="AA300" s="1374" t="s">
        <v>2663</v>
      </c>
      <c r="AB300" s="1374"/>
      <c r="AC300" s="1374"/>
      <c r="AD300" s="1374"/>
      <c r="AE300" s="1374"/>
      <c r="AF300" s="1374"/>
      <c r="AG300" s="1391"/>
      <c r="AH300" s="1391"/>
      <c r="AI300" s="1391"/>
      <c r="AJ300" s="1391"/>
      <c r="AK300" s="1391"/>
      <c r="BN300" s="34"/>
    </row>
    <row r="301" spans="2:66" ht="12.95" customHeight="1">
      <c r="BN301" s="34"/>
    </row>
    <row r="302" spans="2:66" ht="12.95" customHeight="1">
      <c r="B302" s="3" t="s">
        <v>78</v>
      </c>
      <c r="C302" s="3"/>
      <c r="D302" s="3"/>
      <c r="E302" s="3"/>
      <c r="F302" s="3"/>
      <c r="H302" s="1391" t="s">
        <v>2670</v>
      </c>
      <c r="I302" s="1391"/>
      <c r="J302" s="1391"/>
      <c r="K302" s="1391"/>
      <c r="L302" s="1391"/>
      <c r="M302" s="1391"/>
      <c r="N302" s="1391"/>
      <c r="O302" s="1391"/>
      <c r="P302" s="1391"/>
      <c r="Q302" s="1391"/>
      <c r="R302" s="1391"/>
      <c r="T302" s="4" t="s">
        <v>908</v>
      </c>
      <c r="V302" s="3"/>
      <c r="W302" s="3"/>
      <c r="X302" s="3"/>
      <c r="Y302" s="3"/>
      <c r="AA302" s="1391"/>
      <c r="AB302" s="1391"/>
      <c r="AC302" s="1391"/>
      <c r="AD302" s="1391"/>
      <c r="AE302" s="1391"/>
      <c r="AF302" s="1391"/>
      <c r="AG302" s="1391"/>
      <c r="AH302" s="1391"/>
      <c r="AI302" s="1391"/>
      <c r="AJ302" s="1391"/>
      <c r="AK302" s="1391"/>
      <c r="BN302" s="34"/>
    </row>
    <row r="303" spans="2:66" ht="12.95" customHeight="1">
      <c r="B303" s="3" t="s">
        <v>481</v>
      </c>
      <c r="C303" s="3"/>
      <c r="D303" s="3"/>
      <c r="E303" s="3"/>
      <c r="F303" s="3"/>
      <c r="H303" s="1374" t="s">
        <v>2671</v>
      </c>
      <c r="I303" s="1374"/>
      <c r="J303" s="1374"/>
      <c r="K303" s="1374"/>
      <c r="L303" s="1374"/>
      <c r="M303" s="1374"/>
      <c r="N303" s="1374"/>
      <c r="O303" s="1374"/>
      <c r="P303" s="1374"/>
      <c r="Q303" s="1374"/>
      <c r="R303" s="1374"/>
      <c r="T303" s="3" t="s">
        <v>481</v>
      </c>
      <c r="V303" s="3"/>
      <c r="W303" s="3"/>
      <c r="X303" s="3"/>
      <c r="Y303" s="3"/>
      <c r="AA303" s="1374"/>
      <c r="AB303" s="1374"/>
      <c r="AC303" s="1374"/>
      <c r="AD303" s="1374"/>
      <c r="AE303" s="1374"/>
      <c r="AF303" s="1374"/>
      <c r="AG303" s="1374"/>
      <c r="AH303" s="1374"/>
      <c r="AI303" s="1374"/>
      <c r="AJ303" s="1374"/>
      <c r="AK303" s="1374"/>
      <c r="BN303" s="34"/>
    </row>
    <row r="304" spans="2:66" ht="12.95" customHeight="1">
      <c r="B304" s="3" t="s">
        <v>482</v>
      </c>
      <c r="C304" s="3"/>
      <c r="D304" s="3"/>
      <c r="E304" s="3"/>
      <c r="F304" s="3"/>
      <c r="H304" s="1374" t="s">
        <v>2672</v>
      </c>
      <c r="I304" s="1374"/>
      <c r="J304" s="1374"/>
      <c r="K304" s="1374"/>
      <c r="L304" s="1374"/>
      <c r="M304" s="1374"/>
      <c r="N304" s="1374"/>
      <c r="O304" s="1374"/>
      <c r="P304" s="1374"/>
      <c r="Q304" s="1374"/>
      <c r="R304" s="1374"/>
      <c r="T304" s="3" t="s">
        <v>76</v>
      </c>
      <c r="V304" s="3"/>
      <c r="W304" s="3"/>
      <c r="X304" s="3"/>
      <c r="Y304" s="3"/>
      <c r="AA304" s="1374"/>
      <c r="AB304" s="1374"/>
      <c r="AC304" s="1374"/>
      <c r="AD304" s="1374"/>
      <c r="AE304" s="1374"/>
      <c r="AF304" s="1374"/>
      <c r="AG304" s="1374"/>
      <c r="AH304" s="1374"/>
      <c r="AI304" s="1374"/>
      <c r="AJ304" s="1374"/>
      <c r="AK304" s="1374"/>
      <c r="BN304" s="34"/>
    </row>
    <row r="305" spans="2:66" ht="12.95" customHeight="1">
      <c r="B305" s="3" t="s">
        <v>88</v>
      </c>
      <c r="C305" s="3"/>
      <c r="D305" s="3"/>
      <c r="E305" s="3"/>
      <c r="F305" s="3"/>
      <c r="H305" s="1374" t="s">
        <v>2673</v>
      </c>
      <c r="I305" s="1374"/>
      <c r="J305" s="1374"/>
      <c r="K305" s="1374"/>
      <c r="L305" s="1374"/>
      <c r="M305" s="1374"/>
      <c r="N305" s="1374"/>
      <c r="O305" s="1374"/>
      <c r="P305" s="1374"/>
      <c r="Q305" s="1374"/>
      <c r="R305" s="1374"/>
      <c r="T305" s="3" t="s">
        <v>88</v>
      </c>
      <c r="V305" s="3"/>
      <c r="W305" s="3"/>
      <c r="X305" s="3"/>
      <c r="Y305" s="3"/>
      <c r="AA305" s="1374"/>
      <c r="AB305" s="1374"/>
      <c r="AC305" s="1374"/>
      <c r="AD305" s="1374"/>
      <c r="AE305" s="1374"/>
      <c r="AF305" s="1374"/>
      <c r="AG305" s="1374"/>
      <c r="AH305" s="1374"/>
      <c r="AI305" s="1374"/>
      <c r="AJ305" s="1374"/>
      <c r="AK305" s="1374"/>
      <c r="BN305" s="34"/>
    </row>
    <row r="306" spans="2:66" ht="12.95" customHeight="1">
      <c r="B306" s="3" t="s">
        <v>89</v>
      </c>
      <c r="C306" s="3"/>
      <c r="D306" s="3"/>
      <c r="E306" s="3"/>
      <c r="F306" s="3"/>
      <c r="G306" s="3"/>
      <c r="H306" s="1548" t="s">
        <v>2674</v>
      </c>
      <c r="I306" s="1548"/>
      <c r="J306" s="1548"/>
      <c r="K306" s="1548"/>
      <c r="L306" s="1548"/>
      <c r="M306" s="1548"/>
      <c r="N306" s="3" t="s">
        <v>208</v>
      </c>
      <c r="O306" s="3"/>
      <c r="P306" s="1436"/>
      <c r="Q306" s="1436"/>
      <c r="R306" s="1436"/>
      <c r="S306" s="3"/>
      <c r="T306" s="3" t="s">
        <v>89</v>
      </c>
      <c r="V306" s="3"/>
      <c r="W306" s="3"/>
      <c r="X306" s="3"/>
      <c r="Y306" s="3"/>
      <c r="AA306" s="1548"/>
      <c r="AB306" s="1548"/>
      <c r="AC306" s="1548"/>
      <c r="AD306" s="1548"/>
      <c r="AE306" s="1548"/>
      <c r="AF306" s="1548"/>
      <c r="AG306" s="3" t="s">
        <v>208</v>
      </c>
      <c r="AH306" s="3"/>
      <c r="AI306" s="1436"/>
      <c r="AJ306" s="1436"/>
      <c r="AK306" s="1436"/>
      <c r="BN306" s="34"/>
    </row>
    <row r="307" spans="2:66" ht="12.95" customHeight="1">
      <c r="B307" s="3" t="s">
        <v>90</v>
      </c>
      <c r="C307" s="3"/>
      <c r="D307" s="3"/>
      <c r="E307" s="3"/>
      <c r="F307" s="3"/>
      <c r="G307" s="3"/>
      <c r="H307" s="1463" t="s">
        <v>2675</v>
      </c>
      <c r="I307" s="1463"/>
      <c r="J307" s="1463"/>
      <c r="K307" s="1463"/>
      <c r="L307" s="1463"/>
      <c r="M307" s="1463"/>
      <c r="N307" s="3"/>
      <c r="O307" s="3"/>
      <c r="P307" s="118"/>
      <c r="Q307" s="118"/>
      <c r="R307" s="118"/>
      <c r="S307" s="3"/>
      <c r="T307" s="3" t="s">
        <v>90</v>
      </c>
      <c r="V307" s="3"/>
      <c r="W307" s="3"/>
      <c r="X307" s="3"/>
      <c r="Y307" s="3"/>
      <c r="AA307" s="1463"/>
      <c r="AB307" s="1463"/>
      <c r="AC307" s="1463"/>
      <c r="AD307" s="1463"/>
      <c r="AE307" s="1463"/>
      <c r="AF307" s="1463"/>
      <c r="AG307" s="3"/>
      <c r="AH307" s="3"/>
      <c r="AI307" s="118"/>
      <c r="AJ307" s="118"/>
      <c r="AK307" s="118"/>
      <c r="BN307" s="34"/>
    </row>
    <row r="308" spans="2:66" ht="12.95" customHeight="1">
      <c r="B308" s="3" t="s">
        <v>77</v>
      </c>
      <c r="C308" s="3"/>
      <c r="D308" s="3"/>
      <c r="E308" s="3"/>
      <c r="F308" s="3"/>
      <c r="G308" s="3"/>
      <c r="H308" s="1374" t="s">
        <v>2676</v>
      </c>
      <c r="I308" s="1374"/>
      <c r="J308" s="1374"/>
      <c r="K308" s="1374"/>
      <c r="L308" s="1374"/>
      <c r="M308" s="1374"/>
      <c r="N308" s="1391"/>
      <c r="O308" s="1391"/>
      <c r="P308" s="1391"/>
      <c r="Q308" s="1391"/>
      <c r="R308" s="1391"/>
      <c r="S308" s="3"/>
      <c r="T308" s="3" t="s">
        <v>77</v>
      </c>
      <c r="V308" s="3"/>
      <c r="W308" s="3"/>
      <c r="X308" s="3"/>
      <c r="Y308" s="3"/>
      <c r="AA308" s="1374"/>
      <c r="AB308" s="1374"/>
      <c r="AC308" s="1374"/>
      <c r="AD308" s="1374"/>
      <c r="AE308" s="1374"/>
      <c r="AF308" s="1374"/>
      <c r="AG308" s="1391"/>
      <c r="AH308" s="1391"/>
      <c r="AI308" s="1391"/>
      <c r="AJ308" s="1391"/>
      <c r="AK308" s="1391"/>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1" t="s">
        <v>2670</v>
      </c>
      <c r="I310" s="1391"/>
      <c r="J310" s="1391"/>
      <c r="K310" s="1391"/>
      <c r="L310" s="1391"/>
      <c r="M310" s="1391"/>
      <c r="N310" s="1391"/>
      <c r="O310" s="1391"/>
      <c r="P310" s="1391"/>
      <c r="Q310" s="1391"/>
      <c r="R310" s="1391"/>
      <c r="S310" s="3"/>
      <c r="T310" s="3" t="s">
        <v>367</v>
      </c>
      <c r="V310" s="3"/>
      <c r="W310" s="3"/>
      <c r="X310" s="3"/>
      <c r="Y310" s="3"/>
      <c r="AA310" s="1391" t="s">
        <v>2692</v>
      </c>
      <c r="AB310" s="1391"/>
      <c r="AC310" s="1391"/>
      <c r="AD310" s="1391"/>
      <c r="AE310" s="1391"/>
      <c r="AF310" s="1391"/>
      <c r="AG310" s="1391"/>
      <c r="AH310" s="1391"/>
      <c r="AI310" s="1391"/>
      <c r="AJ310" s="1391"/>
      <c r="AK310" s="1391"/>
      <c r="BN310" s="34"/>
    </row>
    <row r="311" spans="2:66" ht="12.95" customHeight="1">
      <c r="B311" s="3" t="s">
        <v>481</v>
      </c>
      <c r="C311" s="3"/>
      <c r="D311" s="3"/>
      <c r="E311" s="3"/>
      <c r="F311" s="3"/>
      <c r="H311" s="1374" t="s">
        <v>2671</v>
      </c>
      <c r="I311" s="1374"/>
      <c r="J311" s="1374"/>
      <c r="K311" s="1374"/>
      <c r="L311" s="1374"/>
      <c r="M311" s="1374"/>
      <c r="N311" s="1374"/>
      <c r="O311" s="1374"/>
      <c r="P311" s="1374"/>
      <c r="Q311" s="1374"/>
      <c r="R311" s="1374"/>
      <c r="S311" s="3"/>
      <c r="T311" s="3" t="s">
        <v>481</v>
      </c>
      <c r="V311" s="3"/>
      <c r="W311" s="3"/>
      <c r="X311" s="3"/>
      <c r="Y311" s="3"/>
      <c r="AA311" s="1374" t="s">
        <v>2693</v>
      </c>
      <c r="AB311" s="1374"/>
      <c r="AC311" s="1374"/>
      <c r="AD311" s="1374"/>
      <c r="AE311" s="1374"/>
      <c r="AF311" s="1374"/>
      <c r="AG311" s="1374"/>
      <c r="AH311" s="1374"/>
      <c r="AI311" s="1374"/>
      <c r="AJ311" s="1374"/>
      <c r="AK311" s="1374"/>
      <c r="BN311" s="34"/>
    </row>
    <row r="312" spans="2:66" ht="12.95" customHeight="1">
      <c r="B312" s="3" t="s">
        <v>482</v>
      </c>
      <c r="C312" s="3"/>
      <c r="D312" s="3"/>
      <c r="E312" s="3"/>
      <c r="F312" s="3"/>
      <c r="H312" s="1374" t="s">
        <v>2672</v>
      </c>
      <c r="I312" s="1374"/>
      <c r="J312" s="1374"/>
      <c r="K312" s="1374"/>
      <c r="L312" s="1374"/>
      <c r="M312" s="1374"/>
      <c r="N312" s="1374"/>
      <c r="O312" s="1374"/>
      <c r="P312" s="1374"/>
      <c r="Q312" s="1374"/>
      <c r="R312" s="1374"/>
      <c r="S312" s="3"/>
      <c r="T312" s="3" t="s">
        <v>76</v>
      </c>
      <c r="V312" s="3"/>
      <c r="W312" s="3"/>
      <c r="X312" s="3"/>
      <c r="Y312" s="3"/>
      <c r="AA312" s="1374" t="s">
        <v>2694</v>
      </c>
      <c r="AB312" s="1374"/>
      <c r="AC312" s="1374"/>
      <c r="AD312" s="1374"/>
      <c r="AE312" s="1374"/>
      <c r="AF312" s="1374"/>
      <c r="AG312" s="1374"/>
      <c r="AH312" s="1374"/>
      <c r="AI312" s="1374"/>
      <c r="AJ312" s="1374"/>
      <c r="AK312" s="1374"/>
      <c r="BN312" s="34"/>
    </row>
    <row r="313" spans="2:66" ht="12.95" customHeight="1">
      <c r="B313" s="3" t="s">
        <v>88</v>
      </c>
      <c r="C313" s="3"/>
      <c r="D313" s="3"/>
      <c r="E313" s="3"/>
      <c r="F313" s="3"/>
      <c r="H313" s="1374" t="s">
        <v>2673</v>
      </c>
      <c r="I313" s="1374"/>
      <c r="J313" s="1374"/>
      <c r="K313" s="1374"/>
      <c r="L313" s="1374"/>
      <c r="M313" s="1374"/>
      <c r="N313" s="1374"/>
      <c r="O313" s="1374"/>
      <c r="P313" s="1374"/>
      <c r="Q313" s="1374"/>
      <c r="R313" s="1374"/>
      <c r="S313" s="3"/>
      <c r="T313" s="3" t="s">
        <v>88</v>
      </c>
      <c r="V313" s="3"/>
      <c r="W313" s="3"/>
      <c r="X313" s="3"/>
      <c r="Y313" s="3"/>
      <c r="AA313" s="1374" t="s">
        <v>2695</v>
      </c>
      <c r="AB313" s="1374"/>
      <c r="AC313" s="1374"/>
      <c r="AD313" s="1374"/>
      <c r="AE313" s="1374"/>
      <c r="AF313" s="1374"/>
      <c r="AG313" s="1374"/>
      <c r="AH313" s="1374"/>
      <c r="AI313" s="1374"/>
      <c r="AJ313" s="1374"/>
      <c r="AK313" s="1374"/>
      <c r="BN313" s="34"/>
    </row>
    <row r="314" spans="2:66" ht="12.95" customHeight="1">
      <c r="B314" s="3" t="s">
        <v>89</v>
      </c>
      <c r="C314" s="3"/>
      <c r="D314" s="3"/>
      <c r="E314" s="3"/>
      <c r="F314" s="3"/>
      <c r="G314" s="3"/>
      <c r="H314" s="1548" t="s">
        <v>2674</v>
      </c>
      <c r="I314" s="1548"/>
      <c r="J314" s="1548"/>
      <c r="K314" s="1548"/>
      <c r="L314" s="1548"/>
      <c r="M314" s="1548"/>
      <c r="N314" s="3" t="s">
        <v>208</v>
      </c>
      <c r="O314" s="3"/>
      <c r="P314" s="1436"/>
      <c r="Q314" s="1436"/>
      <c r="R314" s="1436"/>
      <c r="S314" s="3"/>
      <c r="T314" s="3" t="s">
        <v>89</v>
      </c>
      <c r="V314" s="3"/>
      <c r="W314" s="3"/>
      <c r="X314" s="3"/>
      <c r="Y314" s="3"/>
      <c r="AA314" s="1548" t="s">
        <v>2696</v>
      </c>
      <c r="AB314" s="1548"/>
      <c r="AC314" s="1548"/>
      <c r="AD314" s="1548"/>
      <c r="AE314" s="1548"/>
      <c r="AF314" s="1548"/>
      <c r="AG314" s="3" t="s">
        <v>208</v>
      </c>
      <c r="AH314" s="3"/>
      <c r="AI314" s="1436"/>
      <c r="AJ314" s="1436"/>
      <c r="AK314" s="1436"/>
      <c r="BN314" s="34"/>
    </row>
    <row r="315" spans="2:66" ht="12.95" customHeight="1">
      <c r="B315" s="3" t="s">
        <v>90</v>
      </c>
      <c r="C315" s="3"/>
      <c r="D315" s="3"/>
      <c r="E315" s="3"/>
      <c r="F315" s="3"/>
      <c r="G315" s="3"/>
      <c r="H315" s="1463" t="s">
        <v>2675</v>
      </c>
      <c r="I315" s="1463"/>
      <c r="J315" s="1463"/>
      <c r="K315" s="1463"/>
      <c r="L315" s="1463"/>
      <c r="M315" s="1463"/>
      <c r="N315" s="3"/>
      <c r="O315" s="3"/>
      <c r="P315" s="118"/>
      <c r="Q315" s="118"/>
      <c r="R315" s="118"/>
      <c r="S315" s="3"/>
      <c r="T315" s="3" t="s">
        <v>90</v>
      </c>
      <c r="V315" s="3"/>
      <c r="W315" s="3"/>
      <c r="X315" s="3"/>
      <c r="Y315" s="3"/>
      <c r="AA315" s="1463"/>
      <c r="AB315" s="1463"/>
      <c r="AC315" s="1463"/>
      <c r="AD315" s="1463"/>
      <c r="AE315" s="1463"/>
      <c r="AF315" s="1463"/>
      <c r="AG315" s="3"/>
      <c r="AH315" s="3"/>
      <c r="AI315" s="118"/>
      <c r="AJ315" s="118"/>
      <c r="AK315" s="118"/>
      <c r="BN315" s="34"/>
    </row>
    <row r="316" spans="2:66" ht="12.95" customHeight="1">
      <c r="B316" s="3" t="s">
        <v>77</v>
      </c>
      <c r="C316" s="3"/>
      <c r="D316" s="3"/>
      <c r="E316" s="3"/>
      <c r="F316" s="3"/>
      <c r="G316" s="3"/>
      <c r="H316" s="1374" t="s">
        <v>2676</v>
      </c>
      <c r="I316" s="1374"/>
      <c r="J316" s="1374"/>
      <c r="K316" s="1374"/>
      <c r="L316" s="1374"/>
      <c r="M316" s="1374"/>
      <c r="N316" s="1391"/>
      <c r="O316" s="1391"/>
      <c r="P316" s="1391"/>
      <c r="Q316" s="1391"/>
      <c r="R316" s="1391"/>
      <c r="S316" s="3"/>
      <c r="T316" s="3" t="s">
        <v>77</v>
      </c>
      <c r="V316" s="3"/>
      <c r="W316" s="3"/>
      <c r="X316" s="3"/>
      <c r="Y316" s="3"/>
      <c r="AA316" s="1374" t="s">
        <v>2697</v>
      </c>
      <c r="AB316" s="1374"/>
      <c r="AC316" s="1374"/>
      <c r="AD316" s="1374"/>
      <c r="AE316" s="1374"/>
      <c r="AF316" s="1374"/>
      <c r="AG316" s="1391"/>
      <c r="AH316" s="1391"/>
      <c r="AI316" s="1391"/>
      <c r="AJ316" s="1391"/>
      <c r="AK316" s="1391"/>
      <c r="BN316" s="34"/>
    </row>
    <row r="317" spans="2:66" ht="12.95" customHeight="1">
      <c r="BN317" s="34"/>
    </row>
    <row r="318" spans="2:66" ht="12.95" customHeight="1">
      <c r="B318" s="4" t="s">
        <v>942</v>
      </c>
      <c r="C318" s="3"/>
      <c r="D318" s="3"/>
      <c r="E318" s="3"/>
      <c r="F318" s="3"/>
      <c r="H318" s="1391" t="s">
        <v>2657</v>
      </c>
      <c r="I318" s="1391"/>
      <c r="J318" s="1391"/>
      <c r="K318" s="1391"/>
      <c r="L318" s="1391"/>
      <c r="M318" s="1391"/>
      <c r="N318" s="1391"/>
      <c r="O318" s="1391"/>
      <c r="P318" s="1391"/>
      <c r="Q318" s="1391"/>
      <c r="R318" s="1391"/>
      <c r="T318" s="3" t="s">
        <v>368</v>
      </c>
      <c r="V318" s="3"/>
      <c r="W318" s="3"/>
      <c r="X318" s="3"/>
      <c r="Y318" s="3"/>
      <c r="AA318" s="1391" t="s">
        <v>2670</v>
      </c>
      <c r="AB318" s="1391"/>
      <c r="AC318" s="1391"/>
      <c r="AD318" s="1391"/>
      <c r="AE318" s="1391"/>
      <c r="AF318" s="1391"/>
      <c r="AG318" s="1391"/>
      <c r="AH318" s="1391"/>
      <c r="AI318" s="1391"/>
      <c r="AJ318" s="1391"/>
      <c r="AK318" s="1391"/>
      <c r="BN318" s="34"/>
    </row>
    <row r="319" spans="2:66" ht="12.95" customHeight="1">
      <c r="B319" s="3" t="s">
        <v>481</v>
      </c>
      <c r="C319" s="3"/>
      <c r="D319" s="3"/>
      <c r="E319" s="3"/>
      <c r="F319" s="3"/>
      <c r="H319" s="1374" t="s">
        <v>2677</v>
      </c>
      <c r="I319" s="1374"/>
      <c r="J319" s="1374"/>
      <c r="K319" s="1374"/>
      <c r="L319" s="1374"/>
      <c r="M319" s="1374"/>
      <c r="N319" s="1374"/>
      <c r="O319" s="1374"/>
      <c r="P319" s="1374"/>
      <c r="Q319" s="1374"/>
      <c r="R319" s="1374"/>
      <c r="T319" s="3" t="s">
        <v>481</v>
      </c>
      <c r="V319" s="3"/>
      <c r="W319" s="3"/>
      <c r="X319" s="3"/>
      <c r="Y319" s="3"/>
      <c r="AA319" s="1374" t="s">
        <v>2698</v>
      </c>
      <c r="AB319" s="1374"/>
      <c r="AC319" s="1374"/>
      <c r="AD319" s="1374"/>
      <c r="AE319" s="1374"/>
      <c r="AF319" s="1374"/>
      <c r="AG319" s="1374"/>
      <c r="AH319" s="1374"/>
      <c r="AI319" s="1374"/>
      <c r="AJ319" s="1374"/>
      <c r="AK319" s="1374"/>
      <c r="BN319" s="34"/>
    </row>
    <row r="320" spans="2:66" ht="12.95" customHeight="1">
      <c r="B320" s="3" t="s">
        <v>482</v>
      </c>
      <c r="C320" s="3"/>
      <c r="D320" s="3"/>
      <c r="E320" s="3"/>
      <c r="F320" s="3"/>
      <c r="H320" s="1374" t="s">
        <v>2678</v>
      </c>
      <c r="I320" s="1374"/>
      <c r="J320" s="1374"/>
      <c r="K320" s="1374"/>
      <c r="L320" s="1374"/>
      <c r="M320" s="1374"/>
      <c r="N320" s="1374"/>
      <c r="O320" s="1374"/>
      <c r="P320" s="1374"/>
      <c r="Q320" s="1374"/>
      <c r="R320" s="1374"/>
      <c r="T320" s="3" t="s">
        <v>76</v>
      </c>
      <c r="V320" s="3"/>
      <c r="W320" s="3"/>
      <c r="X320" s="3"/>
      <c r="Y320" s="3"/>
      <c r="AA320" s="1374" t="s">
        <v>2699</v>
      </c>
      <c r="AB320" s="1374"/>
      <c r="AC320" s="1374"/>
      <c r="AD320" s="1374"/>
      <c r="AE320" s="1374"/>
      <c r="AF320" s="1374"/>
      <c r="AG320" s="1374"/>
      <c r="AH320" s="1374"/>
      <c r="AI320" s="1374"/>
      <c r="AJ320" s="1374"/>
      <c r="AK320" s="1374"/>
      <c r="BN320" s="34"/>
    </row>
    <row r="321" spans="2:66" ht="12.95" customHeight="1">
      <c r="B321" s="3" t="s">
        <v>88</v>
      </c>
      <c r="C321" s="3"/>
      <c r="D321" s="3"/>
      <c r="E321" s="3"/>
      <c r="F321" s="3"/>
      <c r="H321" s="1374" t="s">
        <v>2638</v>
      </c>
      <c r="I321" s="1374"/>
      <c r="J321" s="1374"/>
      <c r="K321" s="1374"/>
      <c r="L321" s="1374"/>
      <c r="M321" s="1374"/>
      <c r="N321" s="1374"/>
      <c r="O321" s="1374"/>
      <c r="P321" s="1374"/>
      <c r="Q321" s="1374"/>
      <c r="R321" s="1374"/>
      <c r="T321" s="3" t="s">
        <v>88</v>
      </c>
      <c r="V321" s="3"/>
      <c r="W321" s="3"/>
      <c r="X321" s="3"/>
      <c r="Y321" s="3"/>
      <c r="AA321" s="1374" t="s">
        <v>2700</v>
      </c>
      <c r="AB321" s="1374"/>
      <c r="AC321" s="1374"/>
      <c r="AD321" s="1374"/>
      <c r="AE321" s="1374"/>
      <c r="AF321" s="1374"/>
      <c r="AG321" s="1374"/>
      <c r="AH321" s="1374"/>
      <c r="AI321" s="1374"/>
      <c r="AJ321" s="1374"/>
      <c r="AK321" s="1374"/>
      <c r="BN321" s="34"/>
    </row>
    <row r="322" spans="2:66" ht="12.95" customHeight="1">
      <c r="B322" s="3" t="s">
        <v>89</v>
      </c>
      <c r="C322" s="3"/>
      <c r="D322" s="3"/>
      <c r="E322" s="3"/>
      <c r="F322" s="3"/>
      <c r="G322" s="3"/>
      <c r="H322" s="1548" t="s">
        <v>2639</v>
      </c>
      <c r="I322" s="1548"/>
      <c r="J322" s="1548"/>
      <c r="K322" s="1548"/>
      <c r="L322" s="1548"/>
      <c r="M322" s="1548"/>
      <c r="N322" s="3" t="s">
        <v>208</v>
      </c>
      <c r="O322" s="3"/>
      <c r="P322" s="1436">
        <v>315</v>
      </c>
      <c r="Q322" s="1436"/>
      <c r="R322" s="1436"/>
      <c r="S322" s="3"/>
      <c r="T322" s="3" t="s">
        <v>89</v>
      </c>
      <c r="V322" s="3"/>
      <c r="W322" s="3"/>
      <c r="X322" s="3"/>
      <c r="Y322" s="3"/>
      <c r="AA322" s="1548" t="s">
        <v>2701</v>
      </c>
      <c r="AB322" s="1548"/>
      <c r="AC322" s="1548"/>
      <c r="AD322" s="1548"/>
      <c r="AE322" s="1548"/>
      <c r="AF322" s="1548"/>
      <c r="AG322" s="3" t="s">
        <v>208</v>
      </c>
      <c r="AH322" s="3"/>
      <c r="AI322" s="1436"/>
      <c r="AJ322" s="1436"/>
      <c r="AK322" s="1436"/>
      <c r="BN322" s="34"/>
    </row>
    <row r="323" spans="2:66" ht="12.95" customHeight="1">
      <c r="B323" s="3" t="s">
        <v>90</v>
      </c>
      <c r="C323" s="3"/>
      <c r="D323" s="3"/>
      <c r="E323" s="3"/>
      <c r="F323" s="3"/>
      <c r="G323" s="3"/>
      <c r="H323" s="1463"/>
      <c r="I323" s="1463"/>
      <c r="J323" s="1463"/>
      <c r="K323" s="1463"/>
      <c r="L323" s="1463"/>
      <c r="M323" s="1463"/>
      <c r="N323" s="3"/>
      <c r="O323" s="3"/>
      <c r="P323" s="118"/>
      <c r="Q323" s="118"/>
      <c r="R323" s="118"/>
      <c r="S323" s="3"/>
      <c r="T323" s="3" t="s">
        <v>90</v>
      </c>
      <c r="V323" s="3"/>
      <c r="W323" s="3"/>
      <c r="X323" s="3"/>
      <c r="Y323" s="3"/>
      <c r="AA323" s="1463"/>
      <c r="AB323" s="1463"/>
      <c r="AC323" s="1463"/>
      <c r="AD323" s="1463"/>
      <c r="AE323" s="1463"/>
      <c r="AF323" s="1463"/>
      <c r="AG323" s="3"/>
      <c r="AH323" s="3"/>
      <c r="AI323" s="118"/>
      <c r="AJ323" s="118"/>
      <c r="AK323" s="118"/>
    </row>
    <row r="324" spans="2:66" ht="12.95" customHeight="1">
      <c r="B324" s="3" t="s">
        <v>77</v>
      </c>
      <c r="C324" s="3"/>
      <c r="D324" s="3"/>
      <c r="E324" s="3"/>
      <c r="F324" s="3"/>
      <c r="G324" s="3"/>
      <c r="H324" s="1374" t="s">
        <v>2640</v>
      </c>
      <c r="I324" s="1374"/>
      <c r="J324" s="1374"/>
      <c r="K324" s="1374"/>
      <c r="L324" s="1374"/>
      <c r="M324" s="1374"/>
      <c r="N324" s="1391"/>
      <c r="O324" s="1391"/>
      <c r="P324" s="1391"/>
      <c r="Q324" s="1391"/>
      <c r="R324" s="1391"/>
      <c r="S324" s="3"/>
      <c r="T324" s="3" t="s">
        <v>77</v>
      </c>
      <c r="V324" s="3"/>
      <c r="W324" s="3"/>
      <c r="X324" s="3"/>
      <c r="Y324" s="3"/>
      <c r="AA324" s="1374" t="s">
        <v>2702</v>
      </c>
      <c r="AB324" s="1374"/>
      <c r="AC324" s="1374"/>
      <c r="AD324" s="1374"/>
      <c r="AE324" s="1374"/>
      <c r="AF324" s="1374"/>
      <c r="AG324" s="1391"/>
      <c r="AH324" s="1391"/>
      <c r="AI324" s="1391"/>
      <c r="AJ324" s="1391"/>
      <c r="AK324" s="1391"/>
    </row>
    <row r="325" spans="2:66" ht="12.95" customHeight="1">
      <c r="B325" s="3"/>
      <c r="C325" s="3"/>
      <c r="D325" s="3"/>
      <c r="E325" s="3"/>
      <c r="F325" s="3"/>
      <c r="G325" s="3"/>
      <c r="P325" s="1261"/>
      <c r="Q325" s="1261"/>
      <c r="R325" s="1261"/>
      <c r="S325" s="163"/>
      <c r="T325" s="163"/>
      <c r="U325" s="163"/>
      <c r="V325" s="4"/>
      <c r="W325" s="4"/>
      <c r="X325" s="35"/>
      <c r="Y325" s="35"/>
      <c r="Z325" s="35"/>
    </row>
    <row r="326" spans="2:66" ht="12.95" customHeight="1">
      <c r="B326" s="3" t="s">
        <v>369</v>
      </c>
      <c r="C326" s="3"/>
      <c r="D326" s="3"/>
      <c r="E326" s="3"/>
      <c r="F326" s="3"/>
      <c r="H326" s="1391"/>
      <c r="I326" s="1391"/>
      <c r="J326" s="1391"/>
      <c r="K326" s="1391"/>
      <c r="L326" s="1391"/>
      <c r="M326" s="1391"/>
      <c r="N326" s="1391"/>
      <c r="O326" s="1391"/>
      <c r="P326" s="1391"/>
      <c r="Q326" s="1391"/>
      <c r="R326" s="1391"/>
      <c r="T326" s="3" t="s">
        <v>370</v>
      </c>
      <c r="V326" s="3"/>
      <c r="W326" s="3"/>
      <c r="X326" s="3"/>
      <c r="Y326" s="3"/>
      <c r="AA326" s="1391"/>
      <c r="AB326" s="1391"/>
      <c r="AC326" s="1391"/>
      <c r="AD326" s="1391"/>
      <c r="AE326" s="1391"/>
      <c r="AF326" s="1391"/>
      <c r="AG326" s="1391"/>
      <c r="AH326" s="1391"/>
      <c r="AI326" s="1391"/>
      <c r="AJ326" s="1391"/>
      <c r="AK326" s="1391"/>
    </row>
    <row r="327" spans="2:66" ht="12.95" customHeight="1">
      <c r="B327" s="3" t="s">
        <v>481</v>
      </c>
      <c r="C327" s="3"/>
      <c r="D327" s="3"/>
      <c r="E327" s="3"/>
      <c r="F327" s="3"/>
      <c r="H327" s="1374"/>
      <c r="I327" s="1374"/>
      <c r="J327" s="1374"/>
      <c r="K327" s="1374"/>
      <c r="L327" s="1374"/>
      <c r="M327" s="1374"/>
      <c r="N327" s="1374"/>
      <c r="O327" s="1374"/>
      <c r="P327" s="1374"/>
      <c r="Q327" s="1374"/>
      <c r="R327" s="1374"/>
      <c r="T327" s="3" t="s">
        <v>481</v>
      </c>
      <c r="V327" s="3"/>
      <c r="W327" s="3"/>
      <c r="X327" s="3"/>
      <c r="Y327" s="3"/>
      <c r="AA327" s="1374"/>
      <c r="AB327" s="1374"/>
      <c r="AC327" s="1374"/>
      <c r="AD327" s="1374"/>
      <c r="AE327" s="1374"/>
      <c r="AF327" s="1374"/>
      <c r="AG327" s="1374"/>
      <c r="AH327" s="1374"/>
      <c r="AI327" s="1374"/>
      <c r="AJ327" s="1374"/>
      <c r="AK327" s="1374"/>
    </row>
    <row r="328" spans="2:66" ht="12.95" customHeight="1">
      <c r="B328" s="3" t="s">
        <v>482</v>
      </c>
      <c r="C328" s="3"/>
      <c r="D328" s="3"/>
      <c r="E328" s="3"/>
      <c r="F328" s="3"/>
      <c r="H328" s="1374"/>
      <c r="I328" s="1374"/>
      <c r="J328" s="1374"/>
      <c r="K328" s="1374"/>
      <c r="L328" s="1374"/>
      <c r="M328" s="1374"/>
      <c r="N328" s="1374"/>
      <c r="O328" s="1374"/>
      <c r="P328" s="1374"/>
      <c r="Q328" s="1374"/>
      <c r="R328" s="1374"/>
      <c r="T328" s="3" t="s">
        <v>76</v>
      </c>
      <c r="V328" s="3"/>
      <c r="W328" s="3"/>
      <c r="X328" s="3"/>
      <c r="Y328" s="3"/>
      <c r="AA328" s="1374"/>
      <c r="AB328" s="1374"/>
      <c r="AC328" s="1374"/>
      <c r="AD328" s="1374"/>
      <c r="AE328" s="1374"/>
      <c r="AF328" s="1374"/>
      <c r="AG328" s="1374"/>
      <c r="AH328" s="1374"/>
      <c r="AI328" s="1374"/>
      <c r="AJ328" s="1374"/>
      <c r="AK328" s="1374"/>
    </row>
    <row r="329" spans="2:66" ht="12.95" customHeight="1">
      <c r="B329" s="3" t="s">
        <v>88</v>
      </c>
      <c r="C329" s="3"/>
      <c r="D329" s="3"/>
      <c r="E329" s="3"/>
      <c r="F329" s="3"/>
      <c r="H329" s="1374"/>
      <c r="I329" s="1374"/>
      <c r="J329" s="1374"/>
      <c r="K329" s="1374"/>
      <c r="L329" s="1374"/>
      <c r="M329" s="1374"/>
      <c r="N329" s="1374"/>
      <c r="O329" s="1374"/>
      <c r="P329" s="1374"/>
      <c r="Q329" s="1374"/>
      <c r="R329" s="1374"/>
      <c r="T329" s="3" t="s">
        <v>88</v>
      </c>
      <c r="V329" s="3"/>
      <c r="W329" s="3"/>
      <c r="X329" s="3"/>
      <c r="Y329" s="3"/>
      <c r="AA329" s="1374"/>
      <c r="AB329" s="1374"/>
      <c r="AC329" s="1374"/>
      <c r="AD329" s="1374"/>
      <c r="AE329" s="1374"/>
      <c r="AF329" s="1374"/>
      <c r="AG329" s="1374"/>
      <c r="AH329" s="1374"/>
      <c r="AI329" s="1374"/>
      <c r="AJ329" s="1374"/>
      <c r="AK329" s="1374"/>
    </row>
    <row r="330" spans="2:66" ht="12.95" customHeight="1">
      <c r="B330" s="3" t="s">
        <v>89</v>
      </c>
      <c r="C330" s="3"/>
      <c r="D330" s="3"/>
      <c r="E330" s="3"/>
      <c r="F330" s="3"/>
      <c r="G330" s="3"/>
      <c r="H330" s="1548"/>
      <c r="I330" s="1548"/>
      <c r="J330" s="1548"/>
      <c r="K330" s="1548"/>
      <c r="L330" s="1548"/>
      <c r="M330" s="1548"/>
      <c r="N330" s="3" t="s">
        <v>208</v>
      </c>
      <c r="O330" s="3"/>
      <c r="P330" s="1436"/>
      <c r="Q330" s="1436"/>
      <c r="R330" s="1436"/>
      <c r="S330" s="3"/>
      <c r="T330" s="3" t="s">
        <v>89</v>
      </c>
      <c r="V330" s="3"/>
      <c r="W330" s="3"/>
      <c r="X330" s="3"/>
      <c r="Y330" s="3"/>
      <c r="AA330" s="1548"/>
      <c r="AB330" s="1548"/>
      <c r="AC330" s="1548"/>
      <c r="AD330" s="1548"/>
      <c r="AE330" s="1548"/>
      <c r="AF330" s="1548"/>
      <c r="AG330" s="3" t="s">
        <v>208</v>
      </c>
      <c r="AH330" s="3"/>
      <c r="AI330" s="1436"/>
      <c r="AJ330" s="1436"/>
      <c r="AK330" s="1436"/>
    </row>
    <row r="331" spans="2:66" ht="12.95" customHeight="1">
      <c r="B331" s="3" t="s">
        <v>90</v>
      </c>
      <c r="C331" s="3"/>
      <c r="D331" s="3"/>
      <c r="E331" s="3"/>
      <c r="F331" s="3"/>
      <c r="G331" s="3"/>
      <c r="H331" s="1463"/>
      <c r="I331" s="1463"/>
      <c r="J331" s="1463"/>
      <c r="K331" s="1463"/>
      <c r="L331" s="1463"/>
      <c r="M331" s="1463"/>
      <c r="N331" s="3"/>
      <c r="O331" s="3"/>
      <c r="P331" s="118"/>
      <c r="Q331" s="118"/>
      <c r="R331" s="118"/>
      <c r="S331" s="3"/>
      <c r="T331" s="3" t="s">
        <v>90</v>
      </c>
      <c r="V331" s="3"/>
      <c r="W331" s="3"/>
      <c r="X331" s="3"/>
      <c r="Y331" s="3"/>
      <c r="AA331" s="1463"/>
      <c r="AB331" s="1463"/>
      <c r="AC331" s="1463"/>
      <c r="AD331" s="1463"/>
      <c r="AE331" s="1463"/>
      <c r="AF331" s="1463"/>
      <c r="AG331" s="3"/>
      <c r="AH331" s="3"/>
      <c r="AI331" s="118"/>
      <c r="AJ331" s="118"/>
      <c r="AK331" s="118"/>
    </row>
    <row r="332" spans="2:66" ht="12.95" customHeight="1">
      <c r="B332" s="3" t="s">
        <v>77</v>
      </c>
      <c r="C332" s="3"/>
      <c r="D332" s="3"/>
      <c r="E332" s="3"/>
      <c r="F332" s="3"/>
      <c r="G332" s="3"/>
      <c r="H332" s="1374"/>
      <c r="I332" s="1374"/>
      <c r="J332" s="1374"/>
      <c r="K332" s="1374"/>
      <c r="L332" s="1374"/>
      <c r="M332" s="1374"/>
      <c r="N332" s="1391"/>
      <c r="O332" s="1391"/>
      <c r="P332" s="1391"/>
      <c r="Q332" s="1391"/>
      <c r="R332" s="1391"/>
      <c r="S332" s="3"/>
      <c r="T332" s="3" t="s">
        <v>77</v>
      </c>
      <c r="V332" s="3"/>
      <c r="W332" s="3"/>
      <c r="X332" s="3"/>
      <c r="Y332" s="3"/>
      <c r="AA332" s="1374"/>
      <c r="AB332" s="1374"/>
      <c r="AC332" s="1374"/>
      <c r="AD332" s="1374"/>
      <c r="AE332" s="1374"/>
      <c r="AF332" s="1374"/>
      <c r="AG332" s="1391"/>
      <c r="AH332" s="1391"/>
      <c r="AI332" s="1391"/>
      <c r="AJ332" s="1391"/>
      <c r="AK332" s="1391"/>
    </row>
    <row r="333" spans="2:66" ht="12.95" customHeight="1">
      <c r="B333" s="3"/>
      <c r="C333" s="3"/>
      <c r="D333" s="3"/>
      <c r="E333" s="3"/>
      <c r="F333" s="3"/>
      <c r="G333" s="3"/>
      <c r="P333" s="1261"/>
      <c r="Q333" s="1261"/>
      <c r="R333" s="1261"/>
      <c r="S333" s="163"/>
      <c r="T333" s="163"/>
      <c r="U333" s="163"/>
      <c r="V333" s="4"/>
      <c r="W333" s="4"/>
      <c r="X333" s="35"/>
      <c r="Y333" s="35"/>
      <c r="Z333" s="35"/>
    </row>
    <row r="334" spans="2:66" ht="12.95" customHeight="1">
      <c r="B334" s="3" t="s">
        <v>331</v>
      </c>
      <c r="C334" s="3"/>
      <c r="D334" s="3"/>
      <c r="E334" s="3"/>
      <c r="F334" s="3"/>
      <c r="H334" s="1391" t="s">
        <v>2679</v>
      </c>
      <c r="I334" s="1391"/>
      <c r="J334" s="1391"/>
      <c r="K334" s="1391"/>
      <c r="L334" s="1391"/>
      <c r="M334" s="1391"/>
      <c r="N334" s="1391"/>
      <c r="O334" s="1391"/>
      <c r="P334" s="1391"/>
      <c r="Q334" s="1391"/>
      <c r="R334" s="1391"/>
      <c r="T334" s="218" t="s">
        <v>917</v>
      </c>
      <c r="V334" s="3"/>
      <c r="W334" s="3"/>
      <c r="X334" s="3"/>
      <c r="Y334" s="3"/>
      <c r="AA334" s="1391" t="s">
        <v>2703</v>
      </c>
      <c r="AB334" s="1391"/>
      <c r="AC334" s="1391"/>
      <c r="AD334" s="1391"/>
      <c r="AE334" s="1391"/>
      <c r="AF334" s="1391"/>
      <c r="AG334" s="1391"/>
      <c r="AH334" s="1391"/>
      <c r="AI334" s="1391"/>
      <c r="AJ334" s="1391"/>
      <c r="AK334" s="1391"/>
    </row>
    <row r="335" spans="2:66" ht="12.95" customHeight="1">
      <c r="B335" s="3" t="s">
        <v>481</v>
      </c>
      <c r="C335" s="3"/>
      <c r="D335" s="3"/>
      <c r="E335" s="3"/>
      <c r="F335" s="3"/>
      <c r="H335" s="1374" t="s">
        <v>2680</v>
      </c>
      <c r="I335" s="1374"/>
      <c r="J335" s="1374"/>
      <c r="K335" s="1374"/>
      <c r="L335" s="1374"/>
      <c r="M335" s="1374"/>
      <c r="N335" s="1374"/>
      <c r="O335" s="1374"/>
      <c r="P335" s="1374"/>
      <c r="Q335" s="1374"/>
      <c r="R335" s="1374"/>
      <c r="T335" s="3" t="s">
        <v>481</v>
      </c>
      <c r="V335" s="3"/>
      <c r="W335" s="3"/>
      <c r="X335" s="3"/>
      <c r="Y335" s="3"/>
      <c r="AA335" s="1374" t="s">
        <v>2704</v>
      </c>
      <c r="AB335" s="1374"/>
      <c r="AC335" s="1374"/>
      <c r="AD335" s="1374"/>
      <c r="AE335" s="1374"/>
      <c r="AF335" s="1374"/>
      <c r="AG335" s="1374"/>
      <c r="AH335" s="1374"/>
      <c r="AI335" s="1374"/>
      <c r="AJ335" s="1374"/>
      <c r="AK335" s="1374"/>
    </row>
    <row r="336" spans="2:66" ht="12.95" customHeight="1">
      <c r="B336" s="3" t="s">
        <v>76</v>
      </c>
      <c r="C336" s="3"/>
      <c r="D336" s="3"/>
      <c r="E336" s="3"/>
      <c r="F336" s="3"/>
      <c r="H336" s="1374" t="s">
        <v>2681</v>
      </c>
      <c r="I336" s="1374"/>
      <c r="J336" s="1374"/>
      <c r="K336" s="1374"/>
      <c r="L336" s="1374"/>
      <c r="M336" s="1374"/>
      <c r="N336" s="1374"/>
      <c r="O336" s="1374"/>
      <c r="P336" s="1374"/>
      <c r="Q336" s="1374"/>
      <c r="R336" s="1374"/>
      <c r="T336" s="3" t="s">
        <v>76</v>
      </c>
      <c r="V336" s="3"/>
      <c r="W336" s="3"/>
      <c r="X336" s="3"/>
      <c r="Y336" s="3"/>
      <c r="AA336" s="1374" t="s">
        <v>2705</v>
      </c>
      <c r="AB336" s="1374"/>
      <c r="AC336" s="1374"/>
      <c r="AD336" s="1374"/>
      <c r="AE336" s="1374"/>
      <c r="AF336" s="1374"/>
      <c r="AG336" s="1374"/>
      <c r="AH336" s="1374"/>
      <c r="AI336" s="1374"/>
      <c r="AJ336" s="1374"/>
      <c r="AK336" s="1374"/>
    </row>
    <row r="337" spans="1:66" ht="12.95" customHeight="1">
      <c r="B337" s="3" t="s">
        <v>88</v>
      </c>
      <c r="C337" s="3"/>
      <c r="D337" s="3"/>
      <c r="E337" s="3"/>
      <c r="F337" s="3"/>
      <c r="G337" s="3"/>
      <c r="H337" s="1374" t="s">
        <v>2682</v>
      </c>
      <c r="I337" s="1374"/>
      <c r="J337" s="1374"/>
      <c r="K337" s="1374"/>
      <c r="L337" s="1374"/>
      <c r="M337" s="1374"/>
      <c r="N337" s="1374"/>
      <c r="O337" s="1374"/>
      <c r="P337" s="1374"/>
      <c r="Q337" s="1374"/>
      <c r="R337" s="1374"/>
      <c r="T337" s="3" t="s">
        <v>88</v>
      </c>
      <c r="V337" s="3"/>
      <c r="W337" s="3"/>
      <c r="X337" s="3"/>
      <c r="Y337" s="3"/>
      <c r="AA337" s="1374" t="s">
        <v>2706</v>
      </c>
      <c r="AB337" s="1374"/>
      <c r="AC337" s="1374"/>
      <c r="AD337" s="1374"/>
      <c r="AE337" s="1374"/>
      <c r="AF337" s="1374"/>
      <c r="AG337" s="1374"/>
      <c r="AH337" s="1374"/>
      <c r="AI337" s="1374"/>
      <c r="AJ337" s="1374"/>
      <c r="AK337" s="1374"/>
    </row>
    <row r="338" spans="1:66" ht="12.95" customHeight="1">
      <c r="B338" s="3" t="s">
        <v>89</v>
      </c>
      <c r="C338" s="3"/>
      <c r="D338" s="3"/>
      <c r="E338" s="3"/>
      <c r="F338" s="3"/>
      <c r="G338" s="3"/>
      <c r="H338" s="1548" t="s">
        <v>2683</v>
      </c>
      <c r="I338" s="1548"/>
      <c r="J338" s="1548"/>
      <c r="K338" s="1548"/>
      <c r="L338" s="1548"/>
      <c r="M338" s="1548"/>
      <c r="N338" s="3" t="s">
        <v>208</v>
      </c>
      <c r="O338" s="3"/>
      <c r="P338" s="1436"/>
      <c r="Q338" s="1436"/>
      <c r="R338" s="1436"/>
      <c r="S338" s="3"/>
      <c r="T338" s="3" t="s">
        <v>89</v>
      </c>
      <c r="V338" s="3"/>
      <c r="W338" s="3"/>
      <c r="X338" s="3"/>
      <c r="Y338" s="3"/>
      <c r="AA338" s="1548" t="s">
        <v>2707</v>
      </c>
      <c r="AB338" s="1548"/>
      <c r="AC338" s="1548"/>
      <c r="AD338" s="1548"/>
      <c r="AE338" s="1548"/>
      <c r="AF338" s="1548"/>
      <c r="AG338" s="3" t="s">
        <v>208</v>
      </c>
      <c r="AH338" s="3"/>
      <c r="AI338" s="1436"/>
      <c r="AJ338" s="1436"/>
      <c r="AK338" s="1436"/>
    </row>
    <row r="339" spans="1:66" ht="12.95" customHeight="1">
      <c r="B339" s="3" t="s">
        <v>90</v>
      </c>
      <c r="C339" s="3"/>
      <c r="D339" s="3"/>
      <c r="E339" s="3"/>
      <c r="F339" s="3"/>
      <c r="G339" s="3"/>
      <c r="H339" s="1463"/>
      <c r="I339" s="1463"/>
      <c r="J339" s="1463"/>
      <c r="K339" s="1463"/>
      <c r="L339" s="1463"/>
      <c r="M339" s="1463"/>
      <c r="N339" s="3"/>
      <c r="O339" s="3"/>
      <c r="P339" s="118"/>
      <c r="Q339" s="118"/>
      <c r="R339" s="118"/>
      <c r="S339" s="3"/>
      <c r="T339" s="3" t="s">
        <v>90</v>
      </c>
      <c r="V339" s="3"/>
      <c r="W339" s="3"/>
      <c r="X339" s="3"/>
      <c r="Y339" s="3"/>
      <c r="AA339" s="1463"/>
      <c r="AB339" s="1463"/>
      <c r="AC339" s="1463"/>
      <c r="AD339" s="1463"/>
      <c r="AE339" s="1463"/>
      <c r="AF339" s="1463"/>
      <c r="AG339" s="3"/>
      <c r="AH339" s="3"/>
      <c r="AI339" s="118"/>
      <c r="AJ339" s="118"/>
      <c r="AK339" s="118"/>
    </row>
    <row r="340" spans="1:66" ht="12.95" customHeight="1">
      <c r="B340" s="3" t="s">
        <v>77</v>
      </c>
      <c r="C340" s="3"/>
      <c r="D340" s="3"/>
      <c r="E340" s="3"/>
      <c r="F340" s="3"/>
      <c r="G340" s="3"/>
      <c r="H340" s="1374" t="s">
        <v>2684</v>
      </c>
      <c r="I340" s="1374"/>
      <c r="J340" s="1374"/>
      <c r="K340" s="1374"/>
      <c r="L340" s="1374"/>
      <c r="M340" s="1374"/>
      <c r="N340" s="1391"/>
      <c r="O340" s="1391"/>
      <c r="P340" s="1391"/>
      <c r="Q340" s="1391"/>
      <c r="R340" s="1391"/>
      <c r="S340" s="3"/>
      <c r="T340" s="3" t="s">
        <v>77</v>
      </c>
      <c r="V340" s="3"/>
      <c r="W340" s="3"/>
      <c r="X340" s="3"/>
      <c r="Y340" s="3"/>
      <c r="AA340" s="1374" t="s">
        <v>2708</v>
      </c>
      <c r="AB340" s="1374"/>
      <c r="AC340" s="1374"/>
      <c r="AD340" s="1374"/>
      <c r="AE340" s="1374"/>
      <c r="AF340" s="1374"/>
      <c r="AG340" s="1391"/>
      <c r="AH340" s="1391"/>
      <c r="AI340" s="1391"/>
      <c r="AJ340" s="1391"/>
      <c r="AK340" s="1391"/>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1"/>
      <c r="Q342" s="1391"/>
      <c r="R342" s="1391"/>
      <c r="S342" s="1391"/>
      <c r="T342" s="1391"/>
      <c r="U342" s="1391"/>
      <c r="V342" s="1391"/>
      <c r="W342" s="1391"/>
      <c r="X342" s="1391"/>
      <c r="Y342" s="1391"/>
      <c r="Z342" s="1391"/>
      <c r="AA342" s="1391"/>
      <c r="AB342" s="1391"/>
      <c r="AC342" s="1391"/>
      <c r="AD342" s="1391"/>
      <c r="AE342" s="1391"/>
      <c r="BN342" t="s">
        <v>601</v>
      </c>
    </row>
    <row r="343" spans="1:66" ht="12.95" customHeight="1">
      <c r="B343" s="4"/>
      <c r="C343" s="4"/>
      <c r="D343" s="4"/>
      <c r="E343" s="4"/>
      <c r="F343" s="4"/>
      <c r="I343" s="4" t="s">
        <v>481</v>
      </c>
      <c r="P343" s="1374"/>
      <c r="Q343" s="1374"/>
      <c r="R343" s="1374"/>
      <c r="S343" s="1374"/>
      <c r="T343" s="1374"/>
      <c r="U343" s="1374"/>
      <c r="V343" s="1374"/>
      <c r="W343" s="1374"/>
      <c r="X343" s="1374"/>
      <c r="Y343" s="1374"/>
      <c r="Z343" s="1374"/>
      <c r="AA343" s="1374"/>
      <c r="AB343" s="1374"/>
      <c r="AC343" s="1374"/>
      <c r="AD343" s="1374"/>
      <c r="AE343" s="1374"/>
      <c r="BN343" t="s">
        <v>679</v>
      </c>
    </row>
    <row r="344" spans="1:66" ht="12.95" customHeight="1">
      <c r="B344" s="4"/>
      <c r="C344" s="4"/>
      <c r="D344" s="4"/>
      <c r="E344" s="4"/>
      <c r="F344" s="4"/>
      <c r="I344" s="4" t="s">
        <v>76</v>
      </c>
      <c r="P344" s="1374"/>
      <c r="Q344" s="1374"/>
      <c r="R344" s="1374"/>
      <c r="S344" s="1374"/>
      <c r="T344" s="1374"/>
      <c r="U344" s="1374"/>
      <c r="V344" s="1374"/>
      <c r="W344" s="1374"/>
      <c r="X344" s="1374"/>
      <c r="Y344" s="1374"/>
      <c r="Z344" s="1374"/>
      <c r="AA344" s="1374"/>
      <c r="AB344" s="1374"/>
      <c r="AC344" s="1374"/>
      <c r="AD344" s="1374"/>
      <c r="AE344" s="1374"/>
      <c r="BN344" t="s">
        <v>555</v>
      </c>
    </row>
    <row r="345" spans="1:66" ht="12.95" customHeight="1">
      <c r="B345" s="4"/>
      <c r="C345" s="4"/>
      <c r="D345" s="4"/>
      <c r="E345" s="4"/>
      <c r="F345" s="4"/>
      <c r="G345" s="4"/>
      <c r="I345" s="4" t="s">
        <v>88</v>
      </c>
      <c r="P345" s="1374"/>
      <c r="Q345" s="1374"/>
      <c r="R345" s="1374"/>
      <c r="S345" s="1374"/>
      <c r="T345" s="1374"/>
      <c r="U345" s="1374"/>
      <c r="V345" s="1374"/>
      <c r="W345" s="1374"/>
      <c r="X345" s="1374"/>
      <c r="Y345" s="1374"/>
      <c r="Z345" s="1374"/>
      <c r="AA345" s="1374"/>
      <c r="AB345" s="1374"/>
      <c r="AC345" s="1374"/>
      <c r="AD345" s="1374"/>
      <c r="AE345" s="1374"/>
    </row>
    <row r="346" spans="1:66" ht="12.95" customHeight="1">
      <c r="B346" s="4"/>
      <c r="C346" s="4"/>
      <c r="D346" s="4"/>
      <c r="E346" s="4"/>
      <c r="F346" s="4"/>
      <c r="G346" s="4"/>
      <c r="H346" s="324"/>
      <c r="I346" s="4" t="s">
        <v>89</v>
      </c>
      <c r="P346" s="1439"/>
      <c r="Q346" s="1439"/>
      <c r="R346" s="1439"/>
      <c r="S346" s="1439"/>
      <c r="T346" s="1439"/>
      <c r="U346" s="1439"/>
      <c r="V346" s="1439"/>
      <c r="W346" s="1439"/>
      <c r="X346" s="1439"/>
      <c r="Y346" s="1439"/>
      <c r="Z346" s="1439"/>
      <c r="AA346" s="4" t="s">
        <v>208</v>
      </c>
      <c r="AB346" s="4"/>
      <c r="AC346" s="1422"/>
      <c r="AD346" s="1422"/>
      <c r="AE346" s="1422"/>
      <c r="AF346" s="324"/>
      <c r="AG346" s="4"/>
      <c r="AH346" s="4"/>
      <c r="AI346" s="4"/>
      <c r="AJ346" s="4"/>
      <c r="AK346" s="4"/>
    </row>
    <row r="347" spans="1:66" ht="12.95" customHeight="1">
      <c r="B347" s="4"/>
      <c r="C347" s="4"/>
      <c r="D347" s="4"/>
      <c r="E347" s="4"/>
      <c r="F347" s="4"/>
      <c r="G347" s="4"/>
      <c r="H347" s="324"/>
      <c r="I347" s="4" t="s">
        <v>90</v>
      </c>
      <c r="P347" s="1439"/>
      <c r="Q347" s="1439"/>
      <c r="R347" s="1439"/>
      <c r="S347" s="1439"/>
      <c r="T347" s="1439"/>
      <c r="U347" s="1439"/>
      <c r="V347" s="1439"/>
      <c r="W347" s="1439"/>
      <c r="X347" s="1439"/>
      <c r="Y347" s="1439"/>
      <c r="Z347" s="1439"/>
      <c r="AF347" s="324"/>
      <c r="AG347" s="4"/>
      <c r="AH347" s="4"/>
      <c r="AI347" s="35"/>
      <c r="AJ347" s="35"/>
      <c r="AK347" s="35"/>
    </row>
    <row r="348" spans="1:66" ht="12.95" customHeight="1">
      <c r="B348" s="4"/>
      <c r="C348" s="4"/>
      <c r="D348" s="4"/>
      <c r="E348" s="4"/>
      <c r="F348" s="4"/>
      <c r="G348" s="4"/>
      <c r="I348" s="4" t="s">
        <v>77</v>
      </c>
      <c r="P348" s="1391"/>
      <c r="Q348" s="1391"/>
      <c r="R348" s="1391"/>
      <c r="S348" s="1391"/>
      <c r="T348" s="1391"/>
      <c r="U348" s="1391"/>
      <c r="V348" s="1391"/>
      <c r="W348" s="1391"/>
      <c r="X348" s="1391"/>
      <c r="Y348" s="1391"/>
      <c r="Z348" s="1391"/>
      <c r="AA348" s="1391"/>
      <c r="AB348" s="1391"/>
      <c r="AC348" s="1391"/>
      <c r="AD348" s="1391"/>
      <c r="AE348" s="1391"/>
    </row>
    <row r="349" spans="1:66" ht="12.95" customHeight="1">
      <c r="T349" s="8"/>
      <c r="U349" s="8"/>
      <c r="V349" s="8"/>
      <c r="W349" s="8"/>
      <c r="X349" s="8"/>
      <c r="Y349" s="8"/>
      <c r="Z349" s="8"/>
    </row>
    <row r="350" spans="1:66" ht="12.95" customHeight="1">
      <c r="A350" s="1446" t="s">
        <v>552</v>
      </c>
      <c r="B350" s="1446"/>
      <c r="C350" s="1446"/>
      <c r="D350" s="1446"/>
      <c r="E350" s="1446"/>
      <c r="F350" s="1446"/>
      <c r="G350" s="1446"/>
      <c r="H350" s="1446"/>
      <c r="I350" s="1446"/>
      <c r="J350" s="1446"/>
      <c r="K350" s="1446"/>
      <c r="L350" s="1446"/>
      <c r="M350" s="1446"/>
      <c r="N350" s="1446"/>
      <c r="O350" s="1446"/>
      <c r="P350" s="1446"/>
      <c r="Q350" s="1446"/>
      <c r="R350" s="1446"/>
      <c r="S350" s="1446"/>
      <c r="T350" s="1446"/>
      <c r="U350" s="1446"/>
      <c r="V350" s="1446"/>
      <c r="W350" s="1446"/>
      <c r="X350" s="1446"/>
      <c r="Y350" s="1446"/>
      <c r="Z350" s="1446"/>
      <c r="AA350" s="1446"/>
      <c r="AB350" s="1446"/>
      <c r="AC350" s="1446"/>
      <c r="AD350" s="1446"/>
      <c r="AE350" s="1446"/>
      <c r="AF350" s="1446"/>
      <c r="AG350" s="1446"/>
      <c r="AH350" s="1446"/>
      <c r="AI350" s="1446"/>
      <c r="AJ350" s="1446"/>
      <c r="AK350" s="1446"/>
      <c r="AL350" s="1446"/>
      <c r="AM350" s="95"/>
      <c r="AN350" s="95"/>
      <c r="AO350" s="95"/>
      <c r="AP350" s="95"/>
      <c r="AQ350" s="95"/>
      <c r="AR350" s="95"/>
      <c r="AS350" s="95"/>
      <c r="AT350" s="95"/>
      <c r="AU350" s="95"/>
      <c r="AV350" s="95"/>
      <c r="AW350" s="95"/>
      <c r="AX350" s="95"/>
      <c r="AY350" s="95"/>
    </row>
    <row r="351" spans="1:66" ht="12.95" customHeight="1" thickBot="1">
      <c r="A351" s="1447"/>
      <c r="B351" s="1447"/>
      <c r="C351" s="1447"/>
      <c r="D351" s="1447"/>
      <c r="E351" s="1447"/>
      <c r="F351" s="1447"/>
      <c r="G351" s="1447"/>
      <c r="H351" s="1447"/>
      <c r="I351" s="1447"/>
      <c r="J351" s="1447"/>
      <c r="K351" s="1447"/>
      <c r="L351" s="1447"/>
      <c r="M351" s="1447"/>
      <c r="N351" s="1447"/>
      <c r="O351" s="1447"/>
      <c r="P351" s="1447"/>
      <c r="Q351" s="1447"/>
      <c r="R351" s="1447"/>
      <c r="S351" s="1447"/>
      <c r="T351" s="1447"/>
      <c r="U351" s="1447"/>
      <c r="V351" s="1447"/>
      <c r="W351" s="1447"/>
      <c r="X351" s="1447"/>
      <c r="Y351" s="1447"/>
      <c r="Z351" s="1447"/>
      <c r="AA351" s="1447"/>
      <c r="AB351" s="1447"/>
      <c r="AC351" s="1447"/>
      <c r="AD351" s="1447"/>
      <c r="AE351" s="1447"/>
      <c r="AF351" s="1447"/>
      <c r="AG351" s="1447"/>
      <c r="AH351" s="1447"/>
      <c r="AI351" s="1447"/>
      <c r="AJ351" s="1447"/>
      <c r="AK351" s="1447"/>
      <c r="AL351" s="1447"/>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2518</v>
      </c>
      <c r="M354" s="1378" t="s">
        <v>555</v>
      </c>
      <c r="N354" s="1378"/>
      <c r="P354" t="s">
        <v>1832</v>
      </c>
      <c r="AJ354" s="1378" t="s">
        <v>601</v>
      </c>
      <c r="AK354" s="1378"/>
    </row>
    <row r="355" spans="1:37" ht="12.95" customHeight="1">
      <c r="D355" s="3" t="s">
        <v>1821</v>
      </c>
      <c r="M355" s="1378" t="s">
        <v>601</v>
      </c>
      <c r="N355" s="1378"/>
      <c r="P355" s="3" t="s">
        <v>1981</v>
      </c>
      <c r="AJ355" s="1427"/>
      <c r="AK355" s="1427"/>
    </row>
    <row r="356" spans="1:37" ht="12.95" customHeight="1">
      <c r="D356" s="3" t="s">
        <v>717</v>
      </c>
      <c r="M356" s="1378" t="s">
        <v>601</v>
      </c>
      <c r="N356" s="1378"/>
      <c r="P356" t="s">
        <v>1831</v>
      </c>
      <c r="AJ356" s="1378" t="s">
        <v>601</v>
      </c>
      <c r="AK356" s="1378"/>
    </row>
    <row r="357" spans="1:37" ht="12.95" customHeight="1">
      <c r="D357" s="3" t="s">
        <v>718</v>
      </c>
      <c r="M357" s="1378" t="s">
        <v>601</v>
      </c>
      <c r="N357" s="1378"/>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8" t="s">
        <v>601</v>
      </c>
      <c r="O362" s="1378"/>
      <c r="P362" s="40"/>
      <c r="Q362" s="40"/>
      <c r="R362" s="40"/>
      <c r="S362" s="40"/>
      <c r="T362" s="40"/>
      <c r="U362" s="40"/>
      <c r="V362" s="40"/>
      <c r="W362" s="40"/>
      <c r="X362" s="40"/>
      <c r="Y362" s="40"/>
      <c r="Z362" s="40"/>
      <c r="AC362" s="40"/>
      <c r="AD362" s="40"/>
      <c r="AE362" s="40"/>
    </row>
    <row r="363" spans="1:37" ht="12.95" customHeight="1">
      <c r="E363" t="s">
        <v>372</v>
      </c>
      <c r="Y363" s="1378" t="s">
        <v>601</v>
      </c>
      <c r="Z363" s="1378"/>
    </row>
    <row r="364" spans="1:37" ht="12.95" customHeight="1">
      <c r="D364" s="4" t="s">
        <v>1019</v>
      </c>
      <c r="Q364" s="1391"/>
      <c r="R364" s="1391"/>
      <c r="S364" s="1391"/>
      <c r="T364" s="1391"/>
      <c r="U364" s="1391"/>
      <c r="V364" s="1391"/>
      <c r="W364" s="1391"/>
      <c r="X364" s="1391"/>
      <c r="Y364" s="1391"/>
      <c r="Z364" s="1391"/>
      <c r="AA364" s="1391"/>
      <c r="AB364" s="1391"/>
      <c r="AC364" s="1391"/>
      <c r="AD364" s="1391"/>
      <c r="AE364" s="1391"/>
      <c r="AF364" s="1391"/>
      <c r="AG364" s="1391"/>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8" t="s">
        <v>601</v>
      </c>
      <c r="K366" s="1378"/>
      <c r="L366" s="40"/>
      <c r="M366" s="40"/>
      <c r="N366" s="40"/>
      <c r="O366" s="40"/>
      <c r="P366" s="40"/>
      <c r="Q366" s="40"/>
      <c r="R366" s="40"/>
      <c r="S366" s="40"/>
      <c r="T366" s="40"/>
      <c r="U366" s="40"/>
      <c r="V366" s="40"/>
      <c r="W366" s="40"/>
      <c r="X366" s="40"/>
      <c r="Y366" s="40"/>
      <c r="Z366" s="40"/>
      <c r="AC366" s="40"/>
      <c r="AD366" s="40"/>
      <c r="AE366" s="40"/>
    </row>
    <row r="367" spans="1:37" ht="12.95" customHeight="1">
      <c r="E367" s="1589" t="s">
        <v>719</v>
      </c>
      <c r="F367" s="1589"/>
      <c r="G367" s="1589"/>
      <c r="H367" s="1589"/>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row>
    <row r="368" spans="1:37" ht="12.95" customHeight="1">
      <c r="E368" s="1589"/>
      <c r="F368" s="1589"/>
      <c r="G368" s="1589"/>
      <c r="H368" s="1589"/>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row>
    <row r="369" spans="1:36" ht="12.95" customHeight="1">
      <c r="E369" s="4" t="s">
        <v>458</v>
      </c>
      <c r="F369" s="4"/>
      <c r="G369" s="4"/>
      <c r="H369" s="4"/>
      <c r="I369" s="4"/>
      <c r="J369" s="4"/>
      <c r="K369" s="4"/>
      <c r="L369" s="4"/>
      <c r="N369" s="1438"/>
      <c r="O369" s="1438"/>
      <c r="P369" s="1438"/>
      <c r="Q369" s="1438"/>
      <c r="R369" s="4"/>
      <c r="U369" s="4" t="s">
        <v>459</v>
      </c>
      <c r="V369" s="4"/>
      <c r="W369" s="4"/>
      <c r="X369" s="4"/>
      <c r="Y369" s="4"/>
      <c r="Z369" s="4"/>
      <c r="AA369" s="4"/>
      <c r="AB369" s="4"/>
      <c r="AC369" s="1438"/>
      <c r="AD369" s="1438"/>
      <c r="AE369" s="1438"/>
      <c r="AF369" s="1438"/>
    </row>
    <row r="370" spans="1:36" ht="12.95" customHeight="1">
      <c r="E370" s="4" t="s">
        <v>460</v>
      </c>
      <c r="F370" s="4"/>
      <c r="G370" s="4"/>
      <c r="H370" s="4"/>
      <c r="I370" s="4"/>
      <c r="J370" s="4"/>
      <c r="K370" s="4"/>
      <c r="L370" s="4"/>
      <c r="N370" s="1438"/>
      <c r="O370" s="1438"/>
      <c r="P370" s="1438"/>
      <c r="Q370" s="1438"/>
      <c r="R370" s="4"/>
      <c r="U370" s="4" t="s">
        <v>0</v>
      </c>
      <c r="V370" s="4"/>
      <c r="W370" s="4"/>
      <c r="X370" s="4"/>
      <c r="Y370" s="4"/>
      <c r="Z370" s="4"/>
      <c r="AA370" s="4"/>
      <c r="AB370" s="4"/>
      <c r="AC370" s="1438"/>
      <c r="AD370" s="1438"/>
      <c r="AE370" s="1438"/>
      <c r="AF370" s="1438"/>
    </row>
    <row r="371" spans="1:36" ht="12.95" customHeight="1">
      <c r="E371" s="4" t="s">
        <v>1</v>
      </c>
      <c r="F371" s="4"/>
      <c r="G371" s="4"/>
      <c r="H371" s="4"/>
      <c r="I371" s="4"/>
      <c r="J371" s="4"/>
      <c r="K371" s="4"/>
      <c r="L371" s="4"/>
      <c r="N371" s="1438"/>
      <c r="O371" s="1438"/>
      <c r="P371" s="1438"/>
      <c r="Q371" s="1438"/>
      <c r="R371" s="4"/>
      <c r="V371" s="4"/>
      <c r="W371" s="4"/>
      <c r="X371" s="4"/>
      <c r="Y371" s="4"/>
      <c r="Z371" s="4"/>
      <c r="AA371" s="4"/>
      <c r="AB371" s="4"/>
    </row>
    <row r="372" spans="1:36" ht="12.95" customHeight="1">
      <c r="E372" s="4" t="s">
        <v>2</v>
      </c>
      <c r="F372" s="4"/>
      <c r="G372" s="4"/>
      <c r="H372" s="4"/>
      <c r="I372" s="4"/>
      <c r="J372" s="4"/>
      <c r="K372" s="4"/>
      <c r="L372" s="4"/>
      <c r="N372" s="1440"/>
      <c r="O372" s="1440"/>
      <c r="P372" s="1440"/>
      <c r="Q372" s="1440"/>
      <c r="R372" s="1440"/>
      <c r="S372" s="1440"/>
      <c r="T372" s="1440"/>
      <c r="U372" s="1440"/>
      <c r="V372" s="1440"/>
      <c r="W372" s="1440"/>
      <c r="X372" s="1440"/>
      <c r="Y372" s="1440"/>
      <c r="Z372" s="1440"/>
      <c r="AA372" s="1440"/>
      <c r="AB372" s="1440"/>
      <c r="AC372" s="1440"/>
      <c r="AD372" s="1440"/>
      <c r="AE372" s="1440"/>
      <c r="AF372" s="1440"/>
    </row>
    <row r="373" spans="1:36" ht="12.95" customHeight="1">
      <c r="E373" s="4"/>
      <c r="F373" s="4"/>
      <c r="G373" s="4"/>
      <c r="H373" s="4"/>
      <c r="I373" s="4"/>
      <c r="J373" s="4"/>
      <c r="K373" s="4"/>
      <c r="L373" s="4"/>
      <c r="N373" s="1441"/>
      <c r="O373" s="1441"/>
      <c r="P373" s="1441"/>
      <c r="Q373" s="1441"/>
      <c r="R373" s="1441"/>
      <c r="S373" s="1441"/>
      <c r="T373" s="1441"/>
      <c r="U373" s="1441"/>
      <c r="V373" s="1441"/>
      <c r="W373" s="1441"/>
      <c r="X373" s="1441"/>
      <c r="Y373" s="1441"/>
      <c r="Z373" s="1441"/>
      <c r="AA373" s="1441"/>
      <c r="AB373" s="1441"/>
      <c r="AC373" s="1441"/>
      <c r="AD373" s="1441"/>
      <c r="AE373" s="1441"/>
      <c r="AF373" s="1441"/>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2501</v>
      </c>
      <c r="F376" s="4"/>
      <c r="G376" s="4"/>
      <c r="H376" s="4"/>
      <c r="I376" s="4"/>
      <c r="J376" s="4"/>
      <c r="K376" s="4"/>
      <c r="L376" s="4"/>
      <c r="N376" t="s">
        <v>2495</v>
      </c>
      <c r="R376" s="27" t="s">
        <v>307</v>
      </c>
      <c r="S376" s="1448"/>
      <c r="T376" s="1448"/>
      <c r="U376" s="1" t="s">
        <v>308</v>
      </c>
      <c r="V376" s="1448"/>
      <c r="W376" s="1448"/>
      <c r="Y376" t="s">
        <v>2495</v>
      </c>
      <c r="AC376" s="27" t="s">
        <v>307</v>
      </c>
      <c r="AD376" s="1448"/>
      <c r="AE376" s="1448"/>
      <c r="AF376" s="1" t="s">
        <v>308</v>
      </c>
      <c r="AG376" s="1448"/>
      <c r="AH376" s="1448"/>
    </row>
    <row r="377" spans="1:36" ht="12.95" customHeight="1">
      <c r="E377" s="4" t="s">
        <v>1045</v>
      </c>
      <c r="F377" s="4"/>
      <c r="G377" s="4"/>
      <c r="H377" s="4"/>
      <c r="I377" s="4"/>
      <c r="J377" s="4"/>
      <c r="K377" s="4"/>
      <c r="L377" s="4"/>
      <c r="N377" s="1448"/>
      <c r="O377" s="1448"/>
      <c r="P377" s="1448"/>
    </row>
    <row r="378" spans="1:36" ht="12.95" customHeight="1">
      <c r="E378" s="218" t="s">
        <v>2502</v>
      </c>
      <c r="F378" s="4"/>
      <c r="G378" s="4"/>
      <c r="H378" s="4"/>
      <c r="I378" s="4"/>
      <c r="J378" s="4"/>
      <c r="K378" s="4"/>
      <c r="L378" s="4"/>
      <c r="AG378" s="1542" t="s">
        <v>601</v>
      </c>
      <c r="AH378" s="1542"/>
    </row>
    <row r="379" spans="1:36" ht="12.95" customHeight="1">
      <c r="E379" s="4"/>
      <c r="F379" s="4"/>
      <c r="G379" s="4" t="s">
        <v>2503</v>
      </c>
      <c r="H379" s="4"/>
      <c r="I379" s="4"/>
      <c r="J379" s="4"/>
      <c r="K379" s="4"/>
      <c r="L379" s="4"/>
      <c r="AG379" s="1542" t="s">
        <v>601</v>
      </c>
      <c r="AH379" s="1542"/>
    </row>
    <row r="380" spans="1:36" ht="12.95" customHeight="1">
      <c r="E380" s="4"/>
      <c r="F380" s="4"/>
      <c r="G380" s="349" t="s">
        <v>1046</v>
      </c>
      <c r="H380" s="4"/>
      <c r="I380" s="4"/>
      <c r="J380" s="4"/>
      <c r="K380" s="4"/>
      <c r="L380" s="4"/>
      <c r="V380" s="1378" t="s">
        <v>601</v>
      </c>
      <c r="W380" s="1378"/>
      <c r="Y380" s="22" t="s">
        <v>1021</v>
      </c>
    </row>
    <row r="381" spans="1:36" ht="12.95" customHeight="1">
      <c r="E381" s="4" t="s">
        <v>1022</v>
      </c>
      <c r="F381" s="4"/>
      <c r="G381" s="4"/>
      <c r="H381" s="4"/>
      <c r="I381" s="4"/>
      <c r="J381" s="4"/>
      <c r="K381" s="4"/>
      <c r="L381" s="4"/>
      <c r="V381" s="1378" t="s">
        <v>601</v>
      </c>
      <c r="W381" s="1378"/>
      <c r="Y381" s="4" t="s">
        <v>1023</v>
      </c>
    </row>
    <row r="382" spans="1:36" ht="12.95" customHeight="1"/>
    <row r="383" spans="1:36" ht="12.95" customHeight="1">
      <c r="A383" s="2" t="s">
        <v>79</v>
      </c>
      <c r="B383" s="2"/>
    </row>
    <row r="384" spans="1:36" ht="12.95" customHeight="1">
      <c r="D384" t="s">
        <v>430</v>
      </c>
      <c r="J384" s="1436" t="s">
        <v>2709</v>
      </c>
      <c r="K384" s="1391"/>
      <c r="L384" s="1391"/>
      <c r="M384" s="1391"/>
      <c r="N384" s="1391"/>
      <c r="O384" s="1391"/>
      <c r="P384" s="1391"/>
      <c r="Q384" s="1391"/>
      <c r="R384" s="1391"/>
      <c r="S384" s="1391"/>
      <c r="T384" s="1391"/>
      <c r="U384" s="1391"/>
      <c r="V384" s="8" t="s">
        <v>84</v>
      </c>
      <c r="W384" s="8"/>
      <c r="X384" s="8"/>
      <c r="Y384" s="8"/>
      <c r="Z384" s="8"/>
      <c r="AA384" s="8"/>
      <c r="AB384" s="8"/>
      <c r="AC384" s="1436" t="s">
        <v>2710</v>
      </c>
      <c r="AD384" s="1391"/>
      <c r="AE384" s="1391"/>
      <c r="AF384" s="1391"/>
      <c r="AG384" s="1391"/>
      <c r="AH384" s="1391"/>
      <c r="AI384" s="1391"/>
      <c r="AJ384" s="1391"/>
    </row>
    <row r="385" spans="4:36" ht="12.95" customHeight="1">
      <c r="D385" s="3" t="s">
        <v>1326</v>
      </c>
      <c r="J385" s="1390" t="s">
        <v>2710</v>
      </c>
      <c r="K385" s="1374"/>
      <c r="L385" s="1374"/>
      <c r="M385" s="1374"/>
      <c r="N385" s="1374"/>
      <c r="O385" s="1374"/>
      <c r="P385" s="1374"/>
      <c r="Q385" s="1374"/>
      <c r="R385" s="1374"/>
      <c r="S385" s="1374"/>
      <c r="T385" s="1374"/>
      <c r="U385" s="1374"/>
      <c r="V385" s="3" t="s">
        <v>1326</v>
      </c>
      <c r="W385" s="8"/>
      <c r="X385" s="8"/>
      <c r="Y385" s="8"/>
      <c r="Z385" s="8"/>
      <c r="AA385" s="8"/>
      <c r="AB385" s="8"/>
      <c r="AC385" s="1391"/>
      <c r="AD385" s="1391"/>
      <c r="AE385" s="1391"/>
      <c r="AF385" s="1391"/>
      <c r="AG385" s="1391"/>
      <c r="AH385" s="1391"/>
      <c r="AI385" s="1391"/>
      <c r="AJ385" s="1391"/>
    </row>
    <row r="386" spans="4:36" ht="12.95" customHeight="1">
      <c r="D386" s="3" t="s">
        <v>445</v>
      </c>
      <c r="J386" s="1390" t="s">
        <v>2711</v>
      </c>
      <c r="K386" s="1374"/>
      <c r="L386" s="1374"/>
      <c r="M386" s="1374"/>
      <c r="N386" s="1374"/>
      <c r="O386" s="1374"/>
      <c r="P386" s="1374"/>
      <c r="Q386" s="1374"/>
      <c r="R386" s="1374"/>
      <c r="S386" s="1374"/>
      <c r="T386" s="1374"/>
      <c r="U386" s="1374"/>
      <c r="V386" s="3" t="s">
        <v>445</v>
      </c>
      <c r="W386" s="8"/>
      <c r="X386" s="8"/>
      <c r="Y386" s="8"/>
      <c r="Z386" s="8"/>
      <c r="AA386" s="8"/>
      <c r="AB386" s="8"/>
      <c r="AC386" s="1391"/>
      <c r="AD386" s="1391"/>
      <c r="AE386" s="1391"/>
      <c r="AF386" s="1391"/>
      <c r="AG386" s="1391"/>
      <c r="AH386" s="1391"/>
      <c r="AI386" s="1391"/>
      <c r="AJ386" s="1391"/>
    </row>
    <row r="387" spans="4:36" ht="12.95" customHeight="1">
      <c r="D387" t="s">
        <v>1322</v>
      </c>
      <c r="J387" s="1382" t="s">
        <v>2712</v>
      </c>
      <c r="K387" s="1363"/>
      <c r="L387" s="1363"/>
      <c r="M387" s="1363"/>
      <c r="N387" s="1363"/>
      <c r="O387" s="1363"/>
      <c r="P387" s="1363"/>
      <c r="Q387" s="1363"/>
      <c r="R387" s="1363"/>
      <c r="S387" s="1363"/>
      <c r="T387" s="1363"/>
      <c r="U387" s="1363"/>
      <c r="V387" s="1436" t="s">
        <v>2713</v>
      </c>
      <c r="W387" s="1391"/>
      <c r="X387" s="1391"/>
      <c r="Y387" s="1391"/>
      <c r="Z387" s="1391"/>
      <c r="AA387" s="1391"/>
      <c r="AB387" s="1391"/>
      <c r="AC387" s="1391"/>
      <c r="AD387" s="1391"/>
      <c r="AE387" s="1391"/>
      <c r="AF387" s="1391"/>
      <c r="AG387" s="1391"/>
      <c r="AH387" s="1391"/>
      <c r="AI387" s="1391"/>
      <c r="AJ387" s="1391"/>
    </row>
    <row r="388" spans="4:36" ht="12.95" customHeight="1">
      <c r="D388" t="s">
        <v>4</v>
      </c>
      <c r="Q388" s="1756">
        <v>45056</v>
      </c>
      <c r="R388" s="1756"/>
      <c r="S388" s="1756"/>
      <c r="T388" s="1756"/>
      <c r="U388" s="1756"/>
      <c r="V388" t="s">
        <v>311</v>
      </c>
      <c r="AI388" s="1378" t="s">
        <v>679</v>
      </c>
      <c r="AJ388" s="1378"/>
    </row>
    <row r="389" spans="4:36" ht="12.95" customHeight="1">
      <c r="D389" t="s">
        <v>5</v>
      </c>
      <c r="Q389" s="1587">
        <v>45350</v>
      </c>
      <c r="R389" s="1588"/>
      <c r="S389" s="1588"/>
      <c r="T389" s="1588"/>
      <c r="U389" s="1588"/>
      <c r="W389" s="21" t="s">
        <v>75</v>
      </c>
      <c r="AG389" s="1437"/>
      <c r="AH389" s="1437"/>
      <c r="AI389" s="1437"/>
      <c r="AJ389" s="1437"/>
    </row>
    <row r="390" spans="4:36" ht="12.95" customHeight="1">
      <c r="D390" t="s">
        <v>429</v>
      </c>
      <c r="Q390" s="1586">
        <v>2466680</v>
      </c>
      <c r="R390" s="1586"/>
      <c r="S390" s="1586"/>
      <c r="T390" s="1586"/>
      <c r="U390" s="1586"/>
      <c r="V390" s="3" t="s">
        <v>1325</v>
      </c>
      <c r="AG390" s="1451">
        <v>45323</v>
      </c>
      <c r="AH390" s="1452"/>
      <c r="AI390" s="1452"/>
      <c r="AJ390" s="1452"/>
    </row>
    <row r="391" spans="4:36" ht="12.95" customHeight="1">
      <c r="D391" t="s">
        <v>89</v>
      </c>
      <c r="I391" s="1548" t="s">
        <v>2714</v>
      </c>
      <c r="J391" s="1548"/>
      <c r="K391" s="1548"/>
      <c r="L391" s="1548"/>
      <c r="M391" s="1548"/>
      <c r="N391" s="1548"/>
      <c r="Q391" s="3" t="s">
        <v>208</v>
      </c>
      <c r="S391" s="1585"/>
      <c r="T391" s="1585"/>
      <c r="U391" s="1585"/>
      <c r="V391" t="s">
        <v>74</v>
      </c>
      <c r="AI391" s="1378" t="s">
        <v>679</v>
      </c>
      <c r="AJ391" s="1378"/>
    </row>
    <row r="392" spans="4:36" ht="12.95" customHeight="1">
      <c r="D392" t="s">
        <v>312</v>
      </c>
      <c r="Q392" s="1442"/>
      <c r="R392" s="1442"/>
      <c r="S392" s="1442"/>
      <c r="T392" s="1442"/>
      <c r="U392" s="1442"/>
      <c r="V392" t="s">
        <v>313</v>
      </c>
      <c r="AG392" s="1437"/>
      <c r="AH392" s="1437"/>
      <c r="AI392" s="1437"/>
      <c r="AJ392" s="1437"/>
    </row>
    <row r="393" spans="4:36" ht="12.95" customHeight="1">
      <c r="D393" t="s">
        <v>314</v>
      </c>
      <c r="Q393" s="1714"/>
      <c r="R393" s="1714"/>
      <c r="S393" s="1714"/>
      <c r="T393" s="1714"/>
      <c r="U393" s="1714"/>
      <c r="V393" t="s">
        <v>1306</v>
      </c>
      <c r="AG393" s="1437"/>
      <c r="AH393" s="1437"/>
      <c r="AI393" s="1437"/>
      <c r="AJ393" s="1437"/>
    </row>
    <row r="394" spans="4:36" ht="12.95" customHeight="1">
      <c r="D394" t="s">
        <v>1305</v>
      </c>
      <c r="AG394" s="1437"/>
      <c r="AH394" s="1437"/>
      <c r="AI394" s="1437"/>
      <c r="AJ394" s="1437"/>
    </row>
    <row r="395" spans="4:36" ht="12.95" customHeight="1">
      <c r="AG395" s="491"/>
      <c r="AH395" s="491"/>
      <c r="AI395" s="491"/>
      <c r="AJ395" s="491"/>
    </row>
    <row r="396" spans="4:36" ht="12.95" customHeight="1">
      <c r="D396" s="3" t="s">
        <v>2613</v>
      </c>
      <c r="AG396" s="491"/>
      <c r="AH396" s="491"/>
      <c r="AI396" s="1378" t="s">
        <v>679</v>
      </c>
      <c r="AJ396" s="1378"/>
    </row>
    <row r="397" spans="4:36" ht="12.95" customHeight="1">
      <c r="D397" s="3" t="s">
        <v>1850</v>
      </c>
      <c r="T397" s="1404"/>
      <c r="U397" s="1404"/>
      <c r="V397" s="1404"/>
      <c r="W397" s="1404"/>
      <c r="X397" s="1404"/>
      <c r="Y397" s="1404"/>
      <c r="Z397" s="1404"/>
      <c r="AA397" s="1404"/>
      <c r="AB397" s="1404"/>
      <c r="AC397" s="1404"/>
      <c r="AD397" s="1404"/>
      <c r="AE397" s="1404"/>
      <c r="AF397" s="1404"/>
      <c r="AG397" s="1404"/>
      <c r="AH397" s="1404"/>
      <c r="AI397" s="1404"/>
      <c r="AJ397" s="1404"/>
    </row>
    <row r="398" spans="4:36" ht="12.95" customHeight="1">
      <c r="D398" s="3" t="s">
        <v>1849</v>
      </c>
      <c r="T398" s="1404"/>
      <c r="U398" s="1404"/>
      <c r="V398" s="1404"/>
      <c r="W398" s="1404"/>
      <c r="X398" s="1404"/>
      <c r="Y398" s="1404"/>
      <c r="Z398" s="1404"/>
      <c r="AA398" s="1404"/>
      <c r="AB398" s="1404"/>
      <c r="AC398" s="1404"/>
      <c r="AD398" s="1404"/>
      <c r="AE398" s="1404"/>
      <c r="AF398" s="1404"/>
      <c r="AG398" s="1404"/>
      <c r="AH398" s="1404"/>
      <c r="AI398" s="1404"/>
      <c r="AJ398" s="1404"/>
    </row>
    <row r="399" spans="4:36" ht="12.95" customHeight="1">
      <c r="AG399" s="491"/>
      <c r="AH399" s="491"/>
      <c r="AI399" s="491"/>
      <c r="AJ399" s="491"/>
    </row>
    <row r="400" spans="4:36" ht="12.95" customHeight="1">
      <c r="D400" s="3" t="s">
        <v>1843</v>
      </c>
      <c r="S400" s="1404" t="s">
        <v>679</v>
      </c>
      <c r="T400" s="1404"/>
      <c r="U400" s="1404"/>
      <c r="V400" t="s">
        <v>1844</v>
      </c>
      <c r="AG400" s="1543"/>
      <c r="AH400" s="1543"/>
      <c r="AI400" s="1543"/>
      <c r="AJ400" s="1543"/>
    </row>
    <row r="401" spans="1:36" ht="12.95" customHeight="1">
      <c r="D401" s="3" t="s">
        <v>1841</v>
      </c>
      <c r="S401" s="1404" t="s">
        <v>601</v>
      </c>
      <c r="T401" s="1404"/>
      <c r="U401" s="1404"/>
      <c r="V401" t="s">
        <v>1846</v>
      </c>
      <c r="AE401" s="1544"/>
      <c r="AF401" s="1544"/>
      <c r="AG401" s="1544"/>
      <c r="AH401" s="1544"/>
      <c r="AI401" s="1544"/>
      <c r="AJ401" s="1544"/>
    </row>
    <row r="402" spans="1:36" ht="12.95" customHeight="1">
      <c r="D402" s="3" t="s">
        <v>1842</v>
      </c>
      <c r="K402" s="1456"/>
      <c r="L402" s="1456"/>
      <c r="M402" s="1456"/>
      <c r="N402" s="1456"/>
      <c r="O402" s="1456"/>
      <c r="P402" s="1456"/>
      <c r="Q402" s="1456"/>
      <c r="R402" s="1456"/>
      <c r="S402" s="1456"/>
      <c r="T402" s="1456"/>
      <c r="U402" s="1456"/>
      <c r="V402" s="1456"/>
      <c r="W402" s="1456"/>
      <c r="X402" s="1456"/>
      <c r="Y402" s="1456"/>
      <c r="Z402" s="1456"/>
      <c r="AA402" s="1456"/>
      <c r="AB402" s="1456"/>
      <c r="AC402" s="1456"/>
      <c r="AD402" s="1456"/>
      <c r="AE402" s="1456"/>
      <c r="AF402" s="1456"/>
      <c r="AG402" s="1456"/>
      <c r="AH402" s="1456"/>
      <c r="AI402" s="1456"/>
      <c r="AJ402" s="1456"/>
    </row>
    <row r="403" spans="1:36" ht="12.95" customHeight="1">
      <c r="D403" s="3" t="s">
        <v>1845</v>
      </c>
      <c r="K403" s="1456"/>
      <c r="L403" s="1456"/>
      <c r="M403" s="1456"/>
      <c r="N403" s="1456"/>
      <c r="O403" s="1456"/>
      <c r="P403" s="1456"/>
      <c r="Q403" s="1456"/>
      <c r="R403" s="1456"/>
      <c r="S403" s="1456"/>
      <c r="T403" s="1456"/>
      <c r="U403" s="1456"/>
      <c r="V403" s="1456"/>
      <c r="W403" s="1456"/>
      <c r="X403" s="1456"/>
      <c r="Y403" s="1456"/>
      <c r="Z403" s="1456"/>
      <c r="AA403" s="1456"/>
      <c r="AB403" s="1456"/>
      <c r="AC403" s="1456"/>
      <c r="AD403" s="1456"/>
      <c r="AE403" s="1456"/>
      <c r="AF403" s="1456"/>
      <c r="AG403" s="1456"/>
      <c r="AH403" s="1456"/>
      <c r="AI403" s="1456"/>
      <c r="AJ403" s="1456"/>
    </row>
    <row r="404" spans="1:36" ht="12.95" customHeight="1">
      <c r="D404" s="3" t="s">
        <v>1848</v>
      </c>
      <c r="E404" s="512"/>
      <c r="F404" s="512"/>
      <c r="G404" s="512"/>
      <c r="H404" s="512"/>
      <c r="I404" s="512"/>
      <c r="J404" s="512"/>
      <c r="K404" s="512"/>
      <c r="L404" s="512"/>
      <c r="M404" s="512"/>
      <c r="N404" s="512"/>
      <c r="O404" s="512"/>
      <c r="P404" s="512"/>
      <c r="Q404" s="512"/>
      <c r="R404" s="512"/>
      <c r="S404" s="1545" t="s">
        <v>1328</v>
      </c>
      <c r="T404" s="1545"/>
      <c r="U404" s="1545"/>
      <c r="V404" s="1545"/>
      <c r="W404" s="1545"/>
      <c r="X404" s="1545"/>
      <c r="Y404" s="1545"/>
      <c r="Z404" s="1545"/>
      <c r="AA404" s="1545"/>
      <c r="AB404" s="1545"/>
      <c r="AC404" s="1545"/>
      <c r="AD404" s="1545"/>
      <c r="AE404" s="1545"/>
      <c r="AF404" s="1545"/>
      <c r="AG404" s="1545"/>
      <c r="AH404" s="1545"/>
      <c r="AI404" s="1545"/>
      <c r="AJ404" s="1545"/>
    </row>
    <row r="405" spans="1:36" ht="12.95" customHeight="1">
      <c r="D405" s="1268" t="s">
        <v>1847</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436" t="s">
        <v>2715</v>
      </c>
      <c r="J409" s="1436"/>
      <c r="K409" s="1436"/>
      <c r="L409" s="1436"/>
      <c r="M409" s="1436"/>
      <c r="N409" s="1436"/>
      <c r="O409" s="1436"/>
      <c r="P409" s="1436"/>
      <c r="Q409" s="1436"/>
      <c r="R409" s="1436"/>
      <c r="S409" s="1436"/>
      <c r="T409" s="1436"/>
      <c r="U409" s="1436"/>
      <c r="V409" s="1436"/>
      <c r="W409" s="1436"/>
      <c r="X409" s="1436"/>
      <c r="Y409" s="1436"/>
      <c r="Z409" s="1436"/>
      <c r="AA409" s="1436"/>
      <c r="AB409" s="1436"/>
      <c r="AC409" s="1436"/>
      <c r="AD409" s="1436"/>
      <c r="AE409" s="1436"/>
    </row>
    <row r="410" spans="1:36" ht="12.95" customHeight="1">
      <c r="E410" t="s">
        <v>107</v>
      </c>
      <c r="R410" s="1378" t="s">
        <v>601</v>
      </c>
      <c r="S410" s="1378"/>
      <c r="T410" t="s">
        <v>580</v>
      </c>
      <c r="AD410" s="1438">
        <v>0</v>
      </c>
      <c r="AE410" s="1438"/>
    </row>
    <row r="411" spans="1:36" ht="12.95" customHeight="1">
      <c r="E411" t="s">
        <v>108</v>
      </c>
      <c r="R411" s="1378" t="s">
        <v>601</v>
      </c>
      <c r="S411" s="1378"/>
      <c r="T411" t="s">
        <v>580</v>
      </c>
      <c r="AD411" s="1438">
        <v>0</v>
      </c>
      <c r="AE411" s="1438"/>
    </row>
    <row r="412" spans="1:36" ht="12.95" customHeight="1">
      <c r="E412" t="s">
        <v>109</v>
      </c>
      <c r="S412" s="1378" t="s">
        <v>601</v>
      </c>
      <c r="T412" s="1378"/>
    </row>
    <row r="413" spans="1:36" ht="12.95" customHeight="1">
      <c r="E413" t="s">
        <v>171</v>
      </c>
      <c r="H413" s="1712" t="s">
        <v>336</v>
      </c>
      <c r="I413" s="1712"/>
      <c r="J413" s="1712"/>
      <c r="K413" s="1712"/>
      <c r="L413" s="1712"/>
      <c r="M413" s="1712"/>
      <c r="N413" s="1712"/>
      <c r="O413" s="1712"/>
      <c r="P413" s="1712"/>
      <c r="Q413" s="1712"/>
      <c r="R413" s="1712"/>
      <c r="S413" s="1712"/>
      <c r="T413" s="1712"/>
      <c r="U413" s="1712"/>
      <c r="V413" s="1712"/>
      <c r="W413" s="1712"/>
      <c r="X413" s="1712"/>
      <c r="Y413" s="1712"/>
      <c r="Z413" s="1712"/>
      <c r="AA413" s="1712"/>
      <c r="AB413" s="1712"/>
      <c r="AC413" s="1712"/>
      <c r="AD413" s="1712"/>
      <c r="AE413" s="1712"/>
    </row>
    <row r="414" spans="1:36" ht="12.95" customHeight="1">
      <c r="H414" s="1713"/>
      <c r="I414" s="1713"/>
      <c r="J414" s="1713"/>
      <c r="K414" s="1713"/>
      <c r="L414" s="1713"/>
      <c r="M414" s="1713"/>
      <c r="N414" s="1713"/>
      <c r="O414" s="1713"/>
      <c r="P414" s="1713"/>
      <c r="Q414" s="1713"/>
      <c r="R414" s="1713"/>
      <c r="S414" s="1713"/>
      <c r="T414" s="1713"/>
      <c r="U414" s="1713"/>
      <c r="V414" s="1713"/>
      <c r="W414" s="1713"/>
      <c r="X414" s="1713"/>
      <c r="Y414" s="1713"/>
      <c r="Z414" s="1713"/>
      <c r="AA414" s="1713"/>
      <c r="AB414" s="1713"/>
      <c r="AC414" s="1713"/>
      <c r="AD414" s="1713"/>
      <c r="AE414" s="1713"/>
    </row>
    <row r="415" spans="1:36" ht="12.95" customHeight="1"/>
    <row r="416" spans="1:36" ht="12.95" customHeight="1">
      <c r="A416" s="2" t="s">
        <v>600</v>
      </c>
      <c r="B416" s="2"/>
      <c r="C416" s="2"/>
      <c r="D416" s="2" t="s">
        <v>115</v>
      </c>
      <c r="AF416" s="2" t="s">
        <v>998</v>
      </c>
    </row>
    <row r="417" spans="1:39" ht="12.95" customHeight="1">
      <c r="E417" s="1448"/>
      <c r="F417" s="1448"/>
      <c r="G417" s="1448"/>
      <c r="H417" s="13" t="s">
        <v>116</v>
      </c>
      <c r="I417" s="1448"/>
      <c r="J417" s="1448"/>
      <c r="K417" s="1448"/>
      <c r="L417" t="s">
        <v>117</v>
      </c>
      <c r="N417" s="27" t="s">
        <v>585</v>
      </c>
      <c r="P417" s="1584">
        <v>25.28</v>
      </c>
      <c r="Q417" s="1584"/>
      <c r="R417" s="1584"/>
      <c r="S417" t="s">
        <v>118</v>
      </c>
      <c r="W417" s="1372">
        <f>IF(E417&gt;0,(E417*I417),(P417*43560))</f>
        <v>1101196.8</v>
      </c>
      <c r="X417" s="1372"/>
      <c r="Y417" s="1372"/>
      <c r="Z417" t="s">
        <v>119</v>
      </c>
      <c r="AF417" s="1541">
        <f>IF(P417&gt;0,(AG436/P417),(AG436/(W417/43560)))</f>
        <v>7.7531645569620249</v>
      </c>
      <c r="AG417" s="1541"/>
      <c r="AH417" s="1541"/>
      <c r="AM417" s="3"/>
    </row>
    <row r="418" spans="1:39" ht="12.95" customHeight="1">
      <c r="E418" t="s">
        <v>51</v>
      </c>
    </row>
    <row r="419" spans="1:39" ht="12.95" customHeight="1">
      <c r="E419" s="1534"/>
      <c r="F419" s="1534"/>
      <c r="G419" s="1534"/>
      <c r="H419" s="1534"/>
      <c r="I419" s="1534"/>
      <c r="J419" s="1534"/>
      <c r="K419" s="1534"/>
      <c r="L419" s="1534"/>
      <c r="M419" s="1534"/>
      <c r="N419" s="1534"/>
      <c r="O419" s="1534"/>
      <c r="P419" s="1534"/>
      <c r="Q419" s="1534"/>
      <c r="R419" s="1534"/>
      <c r="S419" s="1534"/>
      <c r="T419" s="1534"/>
      <c r="U419" s="1534"/>
      <c r="V419" s="1534"/>
      <c r="W419" s="1534"/>
      <c r="X419" s="1534"/>
      <c r="Y419" s="1534"/>
      <c r="Z419" s="1534"/>
      <c r="AA419" s="1534"/>
      <c r="AB419" s="1534"/>
      <c r="AC419" s="1534"/>
      <c r="AD419" s="1534"/>
      <c r="AE419" s="1534"/>
      <c r="AF419" s="1534"/>
      <c r="AG419" s="1534"/>
      <c r="AH419" s="1534"/>
      <c r="AI419" s="1534"/>
      <c r="AJ419" s="1534"/>
    </row>
    <row r="420" spans="1:39" ht="12.95" customHeight="1">
      <c r="E420" s="118" t="s">
        <v>1998</v>
      </c>
      <c r="F420" s="1047"/>
      <c r="G420" s="1047"/>
      <c r="H420" s="1047"/>
      <c r="I420" s="1723">
        <v>25.28</v>
      </c>
      <c r="J420" s="1723"/>
      <c r="K420" s="1723"/>
      <c r="L420" s="1047"/>
      <c r="M420" s="118"/>
      <c r="N420" s="1047"/>
      <c r="O420" s="1047"/>
      <c r="P420" s="1746">
        <f>(CS623+CS631+CS647)/I420</f>
        <v>17.009493670886076</v>
      </c>
      <c r="Q420" s="1746"/>
      <c r="R420" s="1746"/>
      <c r="S420" s="118" t="s">
        <v>1999</v>
      </c>
      <c r="T420" s="1047"/>
      <c r="U420" s="1047"/>
      <c r="V420" s="1047"/>
      <c r="W420" s="1047"/>
      <c r="X420" s="1047"/>
      <c r="Y420" s="1047"/>
      <c r="Z420" s="1047"/>
      <c r="AA420" s="1047"/>
      <c r="AB420" s="1047"/>
      <c r="AC420" s="1047"/>
      <c r="AD420" s="1047"/>
      <c r="AE420" s="1047"/>
      <c r="AF420" s="1047"/>
      <c r="AG420" s="1047"/>
      <c r="AH420" s="1047"/>
      <c r="AI420" s="1047"/>
      <c r="AJ420" s="1047"/>
    </row>
    <row r="421" spans="1:39" ht="12.95" customHeight="1"/>
    <row r="422" spans="1:39" ht="12.95" customHeight="1">
      <c r="A422" s="2" t="s">
        <v>602</v>
      </c>
      <c r="B422" s="2"/>
      <c r="C422" s="2"/>
      <c r="D422" s="2" t="s">
        <v>121</v>
      </c>
    </row>
    <row r="423" spans="1:39" ht="12.95" customHeight="1">
      <c r="E423" t="s">
        <v>122</v>
      </c>
      <c r="P423" s="1378">
        <v>197</v>
      </c>
      <c r="Q423" s="1378"/>
      <c r="S423" t="s">
        <v>191</v>
      </c>
      <c r="AE423" s="1378">
        <v>196</v>
      </c>
      <c r="AF423" s="1378"/>
    </row>
    <row r="424" spans="1:39" ht="12.95" customHeight="1">
      <c r="E424" t="s">
        <v>192</v>
      </c>
      <c r="P424" s="1378">
        <v>1</v>
      </c>
      <c r="Q424" s="1378"/>
      <c r="S424" t="s">
        <v>132</v>
      </c>
      <c r="AE424" s="1378" t="s">
        <v>601</v>
      </c>
      <c r="AF424" s="1378"/>
    </row>
    <row r="425" spans="1:39" ht="12.95" customHeight="1">
      <c r="F425" s="28" t="s">
        <v>133</v>
      </c>
    </row>
    <row r="426" spans="1:39" ht="12.95" customHeight="1">
      <c r="F426" s="1449"/>
      <c r="G426" s="1449"/>
      <c r="H426" s="1449"/>
      <c r="I426" s="1449"/>
      <c r="J426" s="1449"/>
      <c r="K426" s="1449"/>
      <c r="L426" s="1449"/>
      <c r="M426" s="1449"/>
      <c r="N426" s="1449"/>
      <c r="O426" s="1449"/>
      <c r="P426" s="1449"/>
      <c r="Q426" s="1449"/>
      <c r="R426" s="1449"/>
      <c r="S426" s="1449"/>
      <c r="T426" s="1449"/>
      <c r="U426" s="1449"/>
      <c r="V426" s="1449"/>
      <c r="W426" s="1449"/>
      <c r="X426" s="1449"/>
      <c r="Y426" s="1449"/>
      <c r="Z426" s="1449"/>
      <c r="AA426" s="1449"/>
      <c r="AB426" s="1449"/>
      <c r="AC426" s="1449"/>
      <c r="AD426" s="1449"/>
      <c r="AE426" s="1449"/>
      <c r="AF426" s="1449"/>
      <c r="AG426" s="1449"/>
      <c r="AH426" s="1449"/>
    </row>
    <row r="427" spans="1:39" ht="12.95" customHeight="1">
      <c r="F427" s="1450"/>
      <c r="G427" s="1450"/>
      <c r="H427" s="1450"/>
      <c r="I427" s="1450"/>
      <c r="J427" s="1450"/>
      <c r="K427" s="1450"/>
      <c r="L427" s="1450"/>
      <c r="M427" s="1450"/>
      <c r="N427" s="1450"/>
      <c r="O427" s="1450"/>
      <c r="P427" s="1450"/>
      <c r="Q427" s="1450"/>
      <c r="R427" s="1450"/>
      <c r="S427" s="1450"/>
      <c r="T427" s="1450"/>
      <c r="U427" s="1450"/>
      <c r="V427" s="1450"/>
      <c r="W427" s="1450"/>
      <c r="X427" s="1450"/>
      <c r="Y427" s="1450"/>
      <c r="Z427" s="1450"/>
      <c r="AA427" s="1450"/>
      <c r="AB427" s="1450"/>
      <c r="AC427" s="1450"/>
      <c r="AD427" s="1450"/>
      <c r="AE427" s="1450"/>
      <c r="AF427" s="1450"/>
      <c r="AG427" s="1450"/>
      <c r="AH427" s="1450"/>
    </row>
    <row r="428" spans="1:39" ht="12.95" customHeight="1">
      <c r="E428" t="s">
        <v>618</v>
      </c>
      <c r="P428" s="1"/>
      <c r="Q428" s="1378" t="s">
        <v>555</v>
      </c>
      <c r="R428" s="1378"/>
    </row>
    <row r="429" spans="1:39" ht="12.95" customHeight="1">
      <c r="F429" t="s">
        <v>619</v>
      </c>
      <c r="P429" s="1"/>
      <c r="Q429" s="1"/>
      <c r="AF429" s="1378" t="s">
        <v>601</v>
      </c>
      <c r="AG429" s="1590"/>
    </row>
    <row r="430" spans="1:39" ht="12.95" customHeight="1"/>
    <row r="431" spans="1:39" ht="12.95" customHeight="1">
      <c r="A431" s="2"/>
      <c r="B431" s="2"/>
      <c r="C431" s="2"/>
      <c r="E431" s="4" t="s">
        <v>310</v>
      </c>
      <c r="Z431" s="1378" t="s">
        <v>555</v>
      </c>
      <c r="AA431" s="1378"/>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8" t="s">
        <v>679</v>
      </c>
      <c r="AA433" s="1378"/>
    </row>
    <row r="434" spans="1:110" ht="12.95" customHeight="1"/>
    <row r="435" spans="1:110" ht="12.95" customHeight="1">
      <c r="A435" s="2" t="s">
        <v>477</v>
      </c>
      <c r="B435" s="2"/>
      <c r="C435" s="2"/>
      <c r="D435" s="2" t="s">
        <v>789</v>
      </c>
      <c r="AF435" s="48"/>
    </row>
    <row r="436" spans="1:110" ht="12.95" customHeight="1">
      <c r="D436" s="1419" t="s">
        <v>43</v>
      </c>
      <c r="E436" s="1420"/>
      <c r="F436" s="1420"/>
      <c r="G436" s="1420"/>
      <c r="H436" s="1420"/>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1"/>
      <c r="AG436" s="1365">
        <v>196</v>
      </c>
      <c r="AH436" s="1365"/>
      <c r="AI436" s="1365"/>
      <c r="AJ436" s="1365"/>
    </row>
    <row r="437" spans="1:110" ht="12.95" customHeight="1">
      <c r="D437" s="1369" t="s">
        <v>1370</v>
      </c>
      <c r="E437" s="1370"/>
      <c r="F437" s="1370"/>
      <c r="G437" s="1370"/>
      <c r="H437" s="1370"/>
      <c r="I437" s="1370"/>
      <c r="J437" s="1370"/>
      <c r="K437" s="1370"/>
      <c r="L437" s="1370"/>
      <c r="M437" s="1370"/>
      <c r="N437" s="1370"/>
      <c r="O437" s="1370"/>
      <c r="P437" s="1370"/>
      <c r="Q437" s="1370"/>
      <c r="R437" s="1370"/>
      <c r="S437" s="1370"/>
      <c r="T437" s="1370"/>
      <c r="U437" s="1370"/>
      <c r="V437" s="1370"/>
      <c r="W437" s="1370"/>
      <c r="X437" s="1370"/>
      <c r="Y437" s="1370"/>
      <c r="Z437" s="1370"/>
      <c r="AA437" s="1370"/>
      <c r="AB437" s="1370"/>
      <c r="AC437" s="1370"/>
      <c r="AD437" s="1370"/>
      <c r="AE437" s="1370"/>
      <c r="AF437" s="1371"/>
      <c r="AG437" s="1376"/>
      <c r="AH437" s="1377"/>
      <c r="AI437" s="1377"/>
      <c r="AJ437" s="1377"/>
    </row>
    <row r="438" spans="1:110" ht="12.95" customHeight="1">
      <c r="D438" s="1369" t="s">
        <v>1093</v>
      </c>
      <c r="E438" s="1370"/>
      <c r="F438" s="1370"/>
      <c r="G438" s="1370"/>
      <c r="H438" s="1370"/>
      <c r="I438" s="1370"/>
      <c r="J438" s="1370"/>
      <c r="K438" s="1370"/>
      <c r="L438" s="1370"/>
      <c r="M438" s="1370"/>
      <c r="N438" s="1370"/>
      <c r="O438" s="1370"/>
      <c r="P438" s="1370"/>
      <c r="Q438" s="1370"/>
      <c r="R438" s="1370"/>
      <c r="S438" s="1370"/>
      <c r="T438" s="1370"/>
      <c r="U438" s="1370"/>
      <c r="V438" s="1370"/>
      <c r="W438" s="1370"/>
      <c r="X438" s="1370"/>
      <c r="Y438" s="1370"/>
      <c r="Z438" s="1370"/>
      <c r="AA438" s="1370"/>
      <c r="AB438" s="1370"/>
      <c r="AC438" s="1370"/>
      <c r="AD438" s="1370"/>
      <c r="AE438" s="1370"/>
      <c r="AF438" s="1371"/>
      <c r="AG438" s="1365">
        <v>195</v>
      </c>
      <c r="AH438" s="1365"/>
      <c r="AI438" s="1365"/>
      <c r="AJ438" s="1365"/>
    </row>
    <row r="439" spans="1:110" ht="12.95" customHeight="1">
      <c r="D439" s="1369" t="s">
        <v>1094</v>
      </c>
      <c r="E439" s="1370"/>
      <c r="F439" s="1370"/>
      <c r="G439" s="1370"/>
      <c r="H439" s="1370"/>
      <c r="I439" s="1370"/>
      <c r="J439" s="1370"/>
      <c r="K439" s="1370"/>
      <c r="L439" s="1370"/>
      <c r="M439" s="1370"/>
      <c r="N439" s="1370"/>
      <c r="O439" s="1370"/>
      <c r="P439" s="1370"/>
      <c r="Q439" s="1370"/>
      <c r="R439" s="1370"/>
      <c r="S439" s="1370"/>
      <c r="T439" s="1370"/>
      <c r="U439" s="1370"/>
      <c r="V439" s="1370"/>
      <c r="W439" s="1370"/>
      <c r="X439" s="1370"/>
      <c r="Y439" s="1370"/>
      <c r="Z439" s="1370"/>
      <c r="AA439" s="1370"/>
      <c r="AB439" s="1370"/>
      <c r="AC439" s="1370"/>
      <c r="AD439" s="1370"/>
      <c r="AE439" s="1370"/>
      <c r="AF439" s="1371"/>
      <c r="AG439" s="1365">
        <v>195</v>
      </c>
      <c r="AH439" s="1365"/>
      <c r="AI439" s="1365"/>
      <c r="AJ439" s="1365"/>
    </row>
    <row r="440" spans="1:110" ht="12.95" customHeight="1">
      <c r="D440" s="1369" t="s">
        <v>1096</v>
      </c>
      <c r="E440" s="1370"/>
      <c r="F440" s="1370"/>
      <c r="G440" s="1370"/>
      <c r="H440" s="1370"/>
      <c r="I440" s="1370"/>
      <c r="J440" s="1370"/>
      <c r="K440" s="1370"/>
      <c r="L440" s="1370"/>
      <c r="M440" s="1370"/>
      <c r="N440" s="1370"/>
      <c r="O440" s="1370"/>
      <c r="P440" s="1370"/>
      <c r="Q440" s="1370"/>
      <c r="R440" s="1370"/>
      <c r="S440" s="1370"/>
      <c r="T440" s="1370"/>
      <c r="U440" s="1370"/>
      <c r="V440" s="1370"/>
      <c r="W440" s="1370"/>
      <c r="X440" s="1370"/>
      <c r="Y440" s="1370"/>
      <c r="Z440" s="1370"/>
      <c r="AA440" s="1370"/>
      <c r="AB440" s="1370"/>
      <c r="AC440" s="1370"/>
      <c r="AD440" s="1370"/>
      <c r="AE440" s="1370"/>
      <c r="AF440" s="1371"/>
      <c r="AG440" s="1367">
        <f>IF(ISERROR(AG439/AG438),"",AG439/AG438)</f>
        <v>1</v>
      </c>
      <c r="AH440" s="1367"/>
      <c r="AI440" s="1367"/>
      <c r="AJ440" s="1367"/>
    </row>
    <row r="441" spans="1:110" ht="12.95" customHeight="1">
      <c r="D441" s="1369" t="s">
        <v>1095</v>
      </c>
      <c r="E441" s="1370"/>
      <c r="F441" s="1370"/>
      <c r="G441" s="1370"/>
      <c r="H441" s="1370"/>
      <c r="I441" s="1370"/>
      <c r="J441" s="1370"/>
      <c r="K441" s="1370"/>
      <c r="L441" s="1370"/>
      <c r="M441" s="1370"/>
      <c r="N441" s="1370"/>
      <c r="O441" s="1370"/>
      <c r="P441" s="1370"/>
      <c r="Q441" s="1370"/>
      <c r="R441" s="1370"/>
      <c r="S441" s="1370"/>
      <c r="T441" s="1370"/>
      <c r="U441" s="1370"/>
      <c r="V441" s="1370"/>
      <c r="W441" s="1370"/>
      <c r="X441" s="1370"/>
      <c r="Y441" s="1370"/>
      <c r="Z441" s="1370"/>
      <c r="AA441" s="1370"/>
      <c r="AB441" s="1370"/>
      <c r="AC441" s="1370"/>
      <c r="AD441" s="1370"/>
      <c r="AE441" s="1370"/>
      <c r="AF441" s="1371"/>
      <c r="AG441" s="1366">
        <f>185799-749</f>
        <v>185050</v>
      </c>
      <c r="AH441" s="1366"/>
      <c r="AI441" s="1366"/>
      <c r="AJ441" s="1366"/>
    </row>
    <row r="442" spans="1:110" ht="12.95" customHeight="1">
      <c r="D442" s="1369" t="s">
        <v>1097</v>
      </c>
      <c r="E442" s="1370"/>
      <c r="F442" s="1370"/>
      <c r="G442" s="1370"/>
      <c r="H442" s="1370"/>
      <c r="I442" s="1370"/>
      <c r="J442" s="1370"/>
      <c r="K442" s="1370"/>
      <c r="L442" s="1370"/>
      <c r="M442" s="1370"/>
      <c r="N442" s="1370"/>
      <c r="O442" s="1370"/>
      <c r="P442" s="1370"/>
      <c r="Q442" s="1370"/>
      <c r="R442" s="1370"/>
      <c r="S442" s="1370"/>
      <c r="T442" s="1370"/>
      <c r="U442" s="1370"/>
      <c r="V442" s="1370"/>
      <c r="W442" s="1370"/>
      <c r="X442" s="1370"/>
      <c r="Y442" s="1370"/>
      <c r="Z442" s="1370"/>
      <c r="AA442" s="1370"/>
      <c r="AB442" s="1370"/>
      <c r="AC442" s="1370"/>
      <c r="AD442" s="1370"/>
      <c r="AE442" s="1370"/>
      <c r="AF442" s="1371"/>
      <c r="AG442" s="1366">
        <f>AG441</f>
        <v>185050</v>
      </c>
      <c r="AH442" s="1366"/>
      <c r="AI442" s="1366"/>
      <c r="AJ442" s="1366"/>
    </row>
    <row r="443" spans="1:110" ht="12.95" customHeight="1">
      <c r="D443" s="1369" t="s">
        <v>1098</v>
      </c>
      <c r="E443" s="1370"/>
      <c r="F443" s="1370"/>
      <c r="G443" s="1370"/>
      <c r="H443" s="1370"/>
      <c r="I443" s="1370"/>
      <c r="J443" s="1370"/>
      <c r="K443" s="1370"/>
      <c r="L443" s="1370"/>
      <c r="M443" s="1370"/>
      <c r="N443" s="1370"/>
      <c r="O443" s="1370"/>
      <c r="P443" s="1370"/>
      <c r="Q443" s="1370"/>
      <c r="R443" s="1370"/>
      <c r="S443" s="1370"/>
      <c r="T443" s="1370"/>
      <c r="U443" s="1370"/>
      <c r="V443" s="1370"/>
      <c r="W443" s="1370"/>
      <c r="X443" s="1370"/>
      <c r="Y443" s="1370"/>
      <c r="Z443" s="1370"/>
      <c r="AA443" s="1370"/>
      <c r="AB443" s="1370"/>
      <c r="AC443" s="1370"/>
      <c r="AD443" s="1370"/>
      <c r="AE443" s="1370"/>
      <c r="AF443" s="1371"/>
      <c r="AG443" s="1367">
        <f>IF(ISERROR(AG442/AG441),"",AG442/AG441)</f>
        <v>1</v>
      </c>
      <c r="AH443" s="1367"/>
      <c r="AI443" s="1367"/>
      <c r="AJ443" s="1367"/>
    </row>
    <row r="444" spans="1:110" ht="12.95" customHeight="1">
      <c r="D444" s="1369" t="s">
        <v>1099</v>
      </c>
      <c r="E444" s="1370"/>
      <c r="F444" s="1370"/>
      <c r="G444" s="1370"/>
      <c r="H444" s="1370"/>
      <c r="I444" s="1370"/>
      <c r="J444" s="1370"/>
      <c r="K444" s="1370"/>
      <c r="L444" s="1370"/>
      <c r="M444" s="1370"/>
      <c r="N444" s="1370"/>
      <c r="O444" s="1370"/>
      <c r="P444" s="1370"/>
      <c r="Q444" s="1370"/>
      <c r="R444" s="1370"/>
      <c r="S444" s="1370"/>
      <c r="T444" s="1370"/>
      <c r="U444" s="1370"/>
      <c r="V444" s="1370"/>
      <c r="W444" s="1370"/>
      <c r="X444" s="1370"/>
      <c r="Y444" s="1370"/>
      <c r="Z444" s="1370"/>
      <c r="AA444" s="1370"/>
      <c r="AB444" s="1370"/>
      <c r="AC444" s="1370"/>
      <c r="AD444" s="1370"/>
      <c r="AE444" s="1370"/>
      <c r="AF444" s="1371"/>
      <c r="AG444" s="1367">
        <f>MIN(IF(AG440&gt;AG443,AG443,AG440),1)</f>
        <v>1</v>
      </c>
      <c r="AH444" s="1367"/>
      <c r="AI444" s="1367"/>
      <c r="AJ444" s="1367"/>
    </row>
    <row r="445" spans="1:110" ht="12.95" customHeight="1">
      <c r="D445" s="1369" t="s">
        <v>2504</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366">
        <f>3188-235</f>
        <v>2953</v>
      </c>
      <c r="AH445" s="1366"/>
      <c r="AI445" s="1366"/>
      <c r="AJ445" s="1366"/>
    </row>
    <row r="446" spans="1:110" ht="12.95" customHeight="1">
      <c r="D446" s="1419" t="s">
        <v>579</v>
      </c>
      <c r="E446" s="1420"/>
      <c r="F446" s="1420"/>
      <c r="G446" s="1420"/>
      <c r="H446" s="1420"/>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1"/>
      <c r="AG446" s="1366">
        <v>0</v>
      </c>
      <c r="AH446" s="1366"/>
      <c r="AI446" s="1366"/>
      <c r="AJ446" s="136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9" t="s">
        <v>1349</v>
      </c>
      <c r="E447" s="1420"/>
      <c r="F447" s="1420"/>
      <c r="G447" s="1420"/>
      <c r="H447" s="1420"/>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1"/>
      <c r="AG447" s="1366">
        <f>919+235</f>
        <v>1154</v>
      </c>
      <c r="AH447" s="1366"/>
      <c r="AI447" s="1366"/>
      <c r="AJ447" s="136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9" t="s">
        <v>1100</v>
      </c>
      <c r="E448" s="1420"/>
      <c r="F448" s="1420"/>
      <c r="G448" s="1420"/>
      <c r="H448" s="1420"/>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1"/>
      <c r="AG448" s="1366">
        <v>0</v>
      </c>
      <c r="AH448" s="1366"/>
      <c r="AI448" s="1366"/>
      <c r="AJ448" s="136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9" t="s">
        <v>1101</v>
      </c>
      <c r="E449" s="1530"/>
      <c r="F449" s="1530"/>
      <c r="G449" s="1530"/>
      <c r="H449" s="1530"/>
      <c r="I449" s="1530"/>
      <c r="J449" s="1530"/>
      <c r="K449" s="1530"/>
      <c r="L449" s="1530"/>
      <c r="M449" s="1530"/>
      <c r="N449" s="1530"/>
      <c r="O449" s="1530"/>
      <c r="P449" s="1530"/>
      <c r="Q449" s="1530"/>
      <c r="R449" s="1530"/>
      <c r="S449" s="1530"/>
      <c r="T449" s="1530"/>
      <c r="U449" s="1530"/>
      <c r="V449" s="1530"/>
      <c r="W449" s="1530"/>
      <c r="X449" s="1530"/>
      <c r="Y449" s="1530"/>
      <c r="Z449" s="1530"/>
      <c r="AA449" s="1530"/>
      <c r="AB449" s="1530"/>
      <c r="AC449" s="1530"/>
      <c r="AD449" s="1530"/>
      <c r="AE449" s="1530"/>
      <c r="AF449" s="1531"/>
      <c r="AG449" s="1462">
        <f>AG441+AG445+AG447+AG448</f>
        <v>189157</v>
      </c>
      <c r="AH449" s="1462"/>
      <c r="AI449" s="1462"/>
      <c r="AJ449" s="146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32" t="s">
        <v>1350</v>
      </c>
      <c r="E450" s="1532"/>
      <c r="F450" s="1532"/>
      <c r="G450" s="1532"/>
      <c r="H450" s="1532"/>
      <c r="I450" s="1532"/>
      <c r="J450" s="1532"/>
      <c r="K450" s="1532"/>
      <c r="L450" s="1532"/>
      <c r="M450" s="1532"/>
      <c r="N450" s="1532"/>
      <c r="O450" s="1532"/>
      <c r="P450" s="1532"/>
      <c r="Q450" s="1532"/>
      <c r="R450" s="1532"/>
      <c r="S450" s="1532"/>
      <c r="T450" s="1532"/>
      <c r="U450" s="1532"/>
      <c r="V450" s="1532"/>
      <c r="W450" s="1532"/>
      <c r="X450" s="1532"/>
      <c r="Y450" s="1532"/>
      <c r="Z450" s="1532"/>
      <c r="AA450" s="1532"/>
      <c r="AB450" s="1532"/>
      <c r="AC450" s="1532"/>
      <c r="AD450" s="1532"/>
      <c r="AE450" s="1532"/>
      <c r="AF450" s="1532"/>
      <c r="AG450" s="1532"/>
      <c r="AH450" s="1532"/>
      <c r="AI450" s="1532"/>
      <c r="AJ450" s="153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3"/>
      <c r="E451" s="1533"/>
      <c r="F451" s="1533"/>
      <c r="G451" s="1533"/>
      <c r="H451" s="1533"/>
      <c r="I451" s="1533"/>
      <c r="J451" s="1533"/>
      <c r="K451" s="1533"/>
      <c r="L451" s="1533"/>
      <c r="M451" s="1533"/>
      <c r="N451" s="1533"/>
      <c r="O451" s="1533"/>
      <c r="P451" s="1533"/>
      <c r="Q451" s="1533"/>
      <c r="R451" s="1533"/>
      <c r="S451" s="1533"/>
      <c r="T451" s="1533"/>
      <c r="U451" s="1533"/>
      <c r="V451" s="1533"/>
      <c r="W451" s="1533"/>
      <c r="X451" s="1533"/>
      <c r="Y451" s="1533"/>
      <c r="Z451" s="1533"/>
      <c r="AA451" s="1533"/>
      <c r="AB451" s="1533"/>
      <c r="AC451" s="1533"/>
      <c r="AD451" s="1533"/>
      <c r="AE451" s="1533"/>
      <c r="AF451" s="1533"/>
      <c r="AG451" s="1533"/>
      <c r="AH451" s="1533"/>
      <c r="AI451" s="1533"/>
      <c r="AJ451" s="153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8">
        <f>'Sources and Uses Budget'!B105/Application!AG436</f>
        <v>369436.45408163266</v>
      </c>
      <c r="AD453" s="1368"/>
      <c r="AE453" s="1368"/>
      <c r="AF453" s="1368"/>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8">
        <f>'Sources and Uses Budget'!C105/Application!AG436</f>
        <v>369436.45408163266</v>
      </c>
      <c r="AD454" s="1368"/>
      <c r="AE454" s="1368"/>
      <c r="AF454" s="1368"/>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8">
        <f>('Sources and Uses Budget'!$S$107+'Sources and Uses Budget'!$T$107)/Application!AG436</f>
        <v>329568.97959183675</v>
      </c>
      <c r="AD455" s="1368"/>
      <c r="AE455" s="1368"/>
      <c r="AF455" s="136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35" t="str">
        <f>IFERROR(IF(AC453&gt;650000,"Please provide a justification of cost per unit in Tab 12 for all projects with per unit costs of greater than $650,000.",""),"")</f>
        <v/>
      </c>
      <c r="G456" s="1535"/>
      <c r="H456" s="1535"/>
      <c r="I456" s="1535"/>
      <c r="J456" s="1535"/>
      <c r="K456" s="1535"/>
      <c r="L456" s="1535"/>
      <c r="M456" s="1535"/>
      <c r="N456" s="1535"/>
      <c r="O456" s="1535"/>
      <c r="P456" s="1535"/>
      <c r="Q456" s="1535"/>
      <c r="R456" s="1535"/>
      <c r="S456" s="1535"/>
      <c r="T456" s="1535"/>
      <c r="U456" s="1535"/>
      <c r="V456" s="1535"/>
      <c r="W456" s="1535"/>
      <c r="X456" s="1535"/>
      <c r="Y456" s="1535"/>
      <c r="Z456" s="1535"/>
      <c r="AA456" s="1535"/>
      <c r="AB456" s="1535"/>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35"/>
      <c r="G457" s="1535"/>
      <c r="H457" s="1535"/>
      <c r="I457" s="1535"/>
      <c r="J457" s="1535"/>
      <c r="K457" s="1535"/>
      <c r="L457" s="1535"/>
      <c r="M457" s="1535"/>
      <c r="N457" s="1535"/>
      <c r="O457" s="1535"/>
      <c r="P457" s="1535"/>
      <c r="Q457" s="1535"/>
      <c r="R457" s="1535"/>
      <c r="S457" s="1535"/>
      <c r="T457" s="1535"/>
      <c r="U457" s="1535"/>
      <c r="V457" s="1535"/>
      <c r="W457" s="1535"/>
      <c r="X457" s="1535"/>
      <c r="Y457" s="1535"/>
      <c r="Z457" s="1535"/>
      <c r="AA457" s="1535"/>
      <c r="AB457" s="153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61" t="s">
        <v>2519</v>
      </c>
      <c r="E464" s="1361"/>
      <c r="F464" s="1361"/>
      <c r="G464" s="1361"/>
      <c r="H464" s="1361"/>
      <c r="I464" s="1361"/>
      <c r="J464" s="1361"/>
      <c r="K464" s="1361"/>
      <c r="L464" s="1361"/>
      <c r="M464" s="1361"/>
      <c r="N464" s="1361"/>
      <c r="O464" s="1361"/>
      <c r="P464" s="1361"/>
      <c r="Q464" s="1361"/>
      <c r="R464" s="1361"/>
      <c r="S464" s="1361"/>
      <c r="T464" s="1361"/>
      <c r="U464" s="1361"/>
      <c r="V464" s="1362"/>
      <c r="W464" s="1357">
        <v>0</v>
      </c>
      <c r="X464" s="1358"/>
      <c r="Y464" s="1359"/>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60" t="s">
        <v>704</v>
      </c>
      <c r="E465" s="1361"/>
      <c r="F465" s="1361"/>
      <c r="G465" s="1361"/>
      <c r="H465" s="1361"/>
      <c r="I465" s="1361"/>
      <c r="J465" s="1361"/>
      <c r="K465" s="1361"/>
      <c r="L465" s="1361"/>
      <c r="M465" s="1361"/>
      <c r="N465" s="1361"/>
      <c r="O465" s="1361"/>
      <c r="P465" s="1361"/>
      <c r="Q465" s="1361"/>
      <c r="R465" s="1361"/>
      <c r="S465" s="1361"/>
      <c r="T465" s="1361"/>
      <c r="U465" s="1361"/>
      <c r="V465" s="1362"/>
      <c r="W465" s="1357">
        <v>0</v>
      </c>
      <c r="X465" s="1358"/>
      <c r="Y465" s="1359"/>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60" t="s">
        <v>705</v>
      </c>
      <c r="E466" s="1361"/>
      <c r="F466" s="1361"/>
      <c r="G466" s="1361"/>
      <c r="H466" s="1361"/>
      <c r="I466" s="1361"/>
      <c r="J466" s="1361"/>
      <c r="K466" s="1361"/>
      <c r="L466" s="1361"/>
      <c r="M466" s="1361"/>
      <c r="N466" s="1361"/>
      <c r="O466" s="1361"/>
      <c r="P466" s="1361"/>
      <c r="Q466" s="1361"/>
      <c r="R466" s="1361"/>
      <c r="S466" s="1361"/>
      <c r="T466" s="1361"/>
      <c r="U466" s="1361"/>
      <c r="V466" s="1362"/>
      <c r="W466" s="1357">
        <v>0</v>
      </c>
      <c r="X466" s="1358"/>
      <c r="Y466" s="135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60" t="s">
        <v>706</v>
      </c>
      <c r="E467" s="1361"/>
      <c r="F467" s="1361"/>
      <c r="G467" s="1361"/>
      <c r="H467" s="1361"/>
      <c r="I467" s="1361"/>
      <c r="J467" s="1361"/>
      <c r="K467" s="1361"/>
      <c r="L467" s="1361"/>
      <c r="M467" s="1361"/>
      <c r="N467" s="1361"/>
      <c r="O467" s="1361"/>
      <c r="P467" s="1361"/>
      <c r="Q467" s="1361"/>
      <c r="R467" s="1361"/>
      <c r="S467" s="1361"/>
      <c r="T467" s="1361"/>
      <c r="U467" s="1361"/>
      <c r="V467" s="1362"/>
      <c r="W467" s="1357">
        <v>0</v>
      </c>
      <c r="X467" s="1358"/>
      <c r="Y467" s="135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60" t="s">
        <v>911</v>
      </c>
      <c r="E468" s="1361"/>
      <c r="F468" s="1361"/>
      <c r="G468" s="1361"/>
      <c r="H468" s="1361"/>
      <c r="I468" s="1361"/>
      <c r="J468" s="1361"/>
      <c r="K468" s="1361"/>
      <c r="L468" s="1361"/>
      <c r="M468" s="1361"/>
      <c r="N468" s="1361"/>
      <c r="O468" s="1361"/>
      <c r="P468" s="1361"/>
      <c r="Q468" s="1361"/>
      <c r="R468" s="1361"/>
      <c r="S468" s="1361"/>
      <c r="T468" s="1361"/>
      <c r="U468" s="1361"/>
      <c r="V468" s="1362"/>
      <c r="W468" s="1357">
        <v>0</v>
      </c>
      <c r="X468" s="1358"/>
      <c r="Y468" s="135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60" t="s">
        <v>707</v>
      </c>
      <c r="E469" s="1361"/>
      <c r="F469" s="1361"/>
      <c r="G469" s="1361"/>
      <c r="H469" s="1361"/>
      <c r="I469" s="1361"/>
      <c r="J469" s="1361"/>
      <c r="K469" s="1361"/>
      <c r="L469" s="1361"/>
      <c r="M469" s="1361"/>
      <c r="N469" s="1361"/>
      <c r="O469" s="1361"/>
      <c r="P469" s="1361"/>
      <c r="Q469" s="1361"/>
      <c r="R469" s="1361"/>
      <c r="S469" s="1361"/>
      <c r="T469" s="1361"/>
      <c r="U469" s="1361"/>
      <c r="V469" s="1362"/>
      <c r="W469" s="1357">
        <v>0</v>
      </c>
      <c r="X469" s="1358"/>
      <c r="Y469" s="1359"/>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60" t="s">
        <v>1070</v>
      </c>
      <c r="E470" s="1361"/>
      <c r="F470" s="1361"/>
      <c r="G470" s="1361"/>
      <c r="H470" s="1361"/>
      <c r="I470" s="1361"/>
      <c r="J470" s="1361"/>
      <c r="K470" s="1361"/>
      <c r="L470" s="1361"/>
      <c r="M470" s="1361"/>
      <c r="N470" s="1361"/>
      <c r="O470" s="1361"/>
      <c r="P470" s="1361"/>
      <c r="Q470" s="1361"/>
      <c r="R470" s="1361"/>
      <c r="S470" s="1361"/>
      <c r="T470" s="1361"/>
      <c r="U470" s="1361"/>
      <c r="V470" s="1362"/>
      <c r="W470" s="1357">
        <v>0</v>
      </c>
      <c r="X470" s="1358"/>
      <c r="Y470" s="1359"/>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1" t="s">
        <v>1836</v>
      </c>
      <c r="E471" s="1361"/>
      <c r="F471" s="1361"/>
      <c r="G471" s="1361"/>
      <c r="H471" s="1361"/>
      <c r="I471" s="1361"/>
      <c r="J471" s="1361"/>
      <c r="K471" s="1361"/>
      <c r="L471" s="1361"/>
      <c r="M471" s="1361"/>
      <c r="N471" s="1361"/>
      <c r="O471" s="1361"/>
      <c r="P471" s="1361"/>
      <c r="Q471" s="1361"/>
      <c r="R471" s="1361"/>
      <c r="S471" s="1361"/>
      <c r="T471" s="1361"/>
      <c r="U471" s="1361"/>
      <c r="V471" s="1362"/>
      <c r="W471" s="1357">
        <v>30</v>
      </c>
      <c r="X471" s="1358"/>
      <c r="Y471" s="135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8" t="s">
        <v>2716</v>
      </c>
      <c r="H472" s="1459"/>
      <c r="I472" s="1459"/>
      <c r="J472" s="1459"/>
      <c r="K472" s="1459"/>
      <c r="L472" s="1459"/>
      <c r="M472" s="1459"/>
      <c r="N472" s="1459"/>
      <c r="O472" s="1459"/>
      <c r="P472" s="1459"/>
      <c r="Q472" s="1459"/>
      <c r="R472" s="1459"/>
      <c r="S472" s="1459"/>
      <c r="T472" s="1459"/>
      <c r="U472" s="1459"/>
      <c r="V472" s="1460"/>
      <c r="W472" s="1357">
        <v>166</v>
      </c>
      <c r="X472" s="1358"/>
      <c r="Y472" s="135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6" t="s">
        <v>836</v>
      </c>
      <c r="B478" s="1446"/>
      <c r="C478" s="1446"/>
      <c r="D478" s="1446"/>
      <c r="E478" s="1446"/>
      <c r="F478" s="1446"/>
      <c r="G478" s="1446"/>
      <c r="H478" s="1446"/>
      <c r="I478" s="1446"/>
      <c r="J478" s="1446"/>
      <c r="K478" s="1446"/>
      <c r="L478" s="1446"/>
      <c r="M478" s="1446"/>
      <c r="N478" s="1446"/>
      <c r="O478" s="1446"/>
      <c r="P478" s="1446"/>
      <c r="Q478" s="1446"/>
      <c r="R478" s="1446"/>
      <c r="S478" s="1446"/>
      <c r="T478" s="1446"/>
      <c r="U478" s="1446"/>
      <c r="V478" s="1446"/>
      <c r="W478" s="1446"/>
      <c r="X478" s="1446"/>
      <c r="Y478" s="1446"/>
      <c r="Z478" s="1446"/>
      <c r="AA478" s="1446"/>
      <c r="AB478" s="1446"/>
      <c r="AC478" s="1446"/>
      <c r="AD478" s="1446"/>
      <c r="AE478" s="1446"/>
      <c r="AF478" s="1446"/>
      <c r="AG478" s="1446"/>
      <c r="AH478" s="1446"/>
      <c r="AI478" s="1446"/>
      <c r="AJ478" s="1446"/>
      <c r="AK478" s="1446"/>
      <c r="AL478" s="1446"/>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7"/>
      <c r="B479" s="1447"/>
      <c r="C479" s="1447"/>
      <c r="D479" s="1447"/>
      <c r="E479" s="1447"/>
      <c r="F479" s="1447"/>
      <c r="G479" s="1447"/>
      <c r="H479" s="1447"/>
      <c r="I479" s="1447"/>
      <c r="J479" s="1447"/>
      <c r="K479" s="1447"/>
      <c r="L479" s="1447"/>
      <c r="M479" s="1447"/>
      <c r="N479" s="1447"/>
      <c r="O479" s="1447"/>
      <c r="P479" s="1447"/>
      <c r="Q479" s="1447"/>
      <c r="R479" s="1447"/>
      <c r="S479" s="1447"/>
      <c r="T479" s="1447"/>
      <c r="U479" s="1447"/>
      <c r="V479" s="1447"/>
      <c r="W479" s="1447"/>
      <c r="X479" s="1447"/>
      <c r="Y479" s="1447"/>
      <c r="Z479" s="1447"/>
      <c r="AA479" s="1447"/>
      <c r="AB479" s="1447"/>
      <c r="AC479" s="1447"/>
      <c r="AD479" s="1447"/>
      <c r="AE479" s="1447"/>
      <c r="AF479" s="1447"/>
      <c r="AG479" s="1447"/>
      <c r="AH479" s="1447"/>
      <c r="AI479" s="1447"/>
      <c r="AJ479" s="1447"/>
      <c r="AK479" s="1447"/>
      <c r="AL479" s="1447"/>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18" t="s">
        <v>395</v>
      </c>
      <c r="R483" s="1414"/>
      <c r="S483" s="1414"/>
      <c r="T483" s="1414"/>
      <c r="U483" s="1414"/>
      <c r="V483" s="1414"/>
      <c r="W483" s="1414"/>
      <c r="X483" s="1414"/>
      <c r="Y483" s="1414"/>
      <c r="Z483" s="1414"/>
      <c r="AA483" s="1414"/>
      <c r="AB483" s="1414"/>
      <c r="AC483" s="1414"/>
      <c r="AD483" s="1414"/>
      <c r="AE483" s="1414"/>
      <c r="AF483" s="1414"/>
      <c r="AG483" s="1414"/>
      <c r="AH483" s="1414"/>
      <c r="AI483" s="1414"/>
      <c r="AJ483" s="1414"/>
      <c r="AK483" s="141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73" t="s">
        <v>2717</v>
      </c>
      <c r="R484" s="1374"/>
      <c r="S484" s="1374"/>
      <c r="T484" s="1374"/>
      <c r="U484" s="1374"/>
      <c r="V484" s="1374"/>
      <c r="W484" s="1374"/>
      <c r="X484" s="1374"/>
      <c r="Y484" s="1374"/>
      <c r="Z484" s="1374"/>
      <c r="AA484" s="1374"/>
      <c r="AB484" s="1374"/>
      <c r="AC484" s="1374"/>
      <c r="AD484" s="1374"/>
      <c r="AE484" s="1374"/>
      <c r="AF484" s="1374"/>
      <c r="AG484" s="1374"/>
      <c r="AH484" s="1374"/>
      <c r="AI484" s="1374"/>
      <c r="AJ484" s="1374"/>
      <c r="AK484" s="1375"/>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73" t="s">
        <v>2718</v>
      </c>
      <c r="R485" s="1374"/>
      <c r="S485" s="1374"/>
      <c r="T485" s="1374"/>
      <c r="U485" s="1374"/>
      <c r="V485" s="1374"/>
      <c r="W485" s="1374"/>
      <c r="X485" s="1374"/>
      <c r="Y485" s="1374"/>
      <c r="Z485" s="1374"/>
      <c r="AA485" s="1374"/>
      <c r="AB485" s="1374"/>
      <c r="AC485" s="1374"/>
      <c r="AD485" s="1374"/>
      <c r="AE485" s="1374"/>
      <c r="AF485" s="1374"/>
      <c r="AG485" s="1374"/>
      <c r="AH485" s="1374"/>
      <c r="AI485" s="1374"/>
      <c r="AJ485" s="1374"/>
      <c r="AK485" s="137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73" t="s">
        <v>2718</v>
      </c>
      <c r="R486" s="1374"/>
      <c r="S486" s="1374"/>
      <c r="T486" s="1374"/>
      <c r="U486" s="1374"/>
      <c r="V486" s="1374"/>
      <c r="W486" s="1374"/>
      <c r="X486" s="1374"/>
      <c r="Y486" s="1374"/>
      <c r="Z486" s="1374"/>
      <c r="AA486" s="1374"/>
      <c r="AB486" s="1374"/>
      <c r="AC486" s="1374"/>
      <c r="AD486" s="1374"/>
      <c r="AE486" s="1374"/>
      <c r="AF486" s="1374"/>
      <c r="AG486" s="1374"/>
      <c r="AH486" s="1374"/>
      <c r="AI486" s="1374"/>
      <c r="AJ486" s="1374"/>
      <c r="AK486" s="1375"/>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3" t="s">
        <v>399</v>
      </c>
      <c r="C487" s="1394"/>
      <c r="D487" s="1394"/>
      <c r="E487" s="1394"/>
      <c r="F487" s="1394"/>
      <c r="G487" s="1394"/>
      <c r="H487" s="1394"/>
      <c r="I487" s="1394"/>
      <c r="J487" s="1394"/>
      <c r="K487" s="1394"/>
      <c r="L487" s="1394"/>
      <c r="M487" s="1394"/>
      <c r="N487" s="1394"/>
      <c r="O487" s="1394"/>
      <c r="P487" s="1395"/>
      <c r="Q487" s="1399" t="s">
        <v>679</v>
      </c>
      <c r="R487" s="1400"/>
      <c r="S487" s="1731" t="s">
        <v>167</v>
      </c>
      <c r="T487" s="1732"/>
      <c r="U487" s="1732"/>
      <c r="V487" s="1732"/>
      <c r="W487" s="1732"/>
      <c r="X487" s="1732"/>
      <c r="Y487" s="1732"/>
      <c r="Z487" s="1732"/>
      <c r="AA487" s="1732"/>
      <c r="AB487" s="1732"/>
      <c r="AC487" s="1732"/>
      <c r="AD487" s="1732"/>
      <c r="AE487" s="1732"/>
      <c r="AF487" s="1732"/>
      <c r="AG487" s="1732"/>
      <c r="AH487" s="1732"/>
      <c r="AI487" s="1732"/>
      <c r="AJ487" s="1732"/>
      <c r="AK487" s="173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6"/>
      <c r="C488" s="1397"/>
      <c r="D488" s="1397"/>
      <c r="E488" s="1397"/>
      <c r="F488" s="1397"/>
      <c r="G488" s="1397"/>
      <c r="H488" s="1397"/>
      <c r="I488" s="1397"/>
      <c r="J488" s="1397"/>
      <c r="K488" s="1397"/>
      <c r="L488" s="1397"/>
      <c r="M488" s="1397"/>
      <c r="N488" s="1397"/>
      <c r="O488" s="1397"/>
      <c r="P488" s="1398"/>
      <c r="Q488" s="1401"/>
      <c r="R488" s="1402"/>
      <c r="S488" s="1734"/>
      <c r="T488" s="1450"/>
      <c r="U488" s="1450"/>
      <c r="V488" s="1450"/>
      <c r="W488" s="1450"/>
      <c r="X488" s="1450"/>
      <c r="Y488" s="1450"/>
      <c r="Z488" s="1450"/>
      <c r="AA488" s="1450"/>
      <c r="AB488" s="1450"/>
      <c r="AC488" s="1450"/>
      <c r="AD488" s="1450"/>
      <c r="AE488" s="1450"/>
      <c r="AF488" s="1450"/>
      <c r="AG488" s="1450"/>
      <c r="AH488" s="1450"/>
      <c r="AI488" s="1450"/>
      <c r="AJ488" s="1450"/>
      <c r="AK488" s="173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29" t="s">
        <v>1854</v>
      </c>
      <c r="C489" s="909"/>
      <c r="D489" s="909"/>
      <c r="E489" s="909"/>
      <c r="F489" s="909"/>
      <c r="G489" s="909"/>
      <c r="H489" s="909"/>
      <c r="I489" s="909"/>
      <c r="J489" s="909"/>
      <c r="K489" s="909"/>
      <c r="L489" s="909"/>
      <c r="M489" s="909"/>
      <c r="N489" s="909"/>
      <c r="O489" s="909"/>
      <c r="P489" s="909"/>
      <c r="Q489" s="1467" t="s">
        <v>679</v>
      </c>
      <c r="R489" s="1468"/>
      <c r="S489" s="1468"/>
      <c r="T489" s="1468"/>
      <c r="U489" s="1468"/>
      <c r="V489" s="1468"/>
      <c r="W489" s="1468"/>
      <c r="X489" s="1468"/>
      <c r="Y489" s="1468"/>
      <c r="Z489" s="1468"/>
      <c r="AA489" s="1468"/>
      <c r="AB489" s="1468"/>
      <c r="AC489" s="1468"/>
      <c r="AD489" s="1468"/>
      <c r="AE489" s="1468"/>
      <c r="AF489" s="1468"/>
      <c r="AG489" s="1468"/>
      <c r="AH489" s="1468"/>
      <c r="AI489" s="1468"/>
      <c r="AJ489" s="1468"/>
      <c r="AK489" s="146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73" t="s">
        <v>2719</v>
      </c>
      <c r="R490" s="1374"/>
      <c r="S490" s="1374"/>
      <c r="T490" s="1374"/>
      <c r="U490" s="1374"/>
      <c r="V490" s="1374"/>
      <c r="W490" s="1374"/>
      <c r="X490" s="1374"/>
      <c r="Y490" s="1374"/>
      <c r="Z490" s="1374"/>
      <c r="AA490" s="1374"/>
      <c r="AB490" s="1374"/>
      <c r="AC490" s="1374"/>
      <c r="AD490" s="1374"/>
      <c r="AE490" s="1374"/>
      <c r="AF490" s="1374"/>
      <c r="AG490" s="1374"/>
      <c r="AH490" s="1374"/>
      <c r="AI490" s="1374"/>
      <c r="AJ490" s="1374"/>
      <c r="AK490" s="1375"/>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73" t="s">
        <v>2720</v>
      </c>
      <c r="R491" s="1374"/>
      <c r="S491" s="1374"/>
      <c r="T491" s="1374"/>
      <c r="U491" s="1374"/>
      <c r="V491" s="1374"/>
      <c r="W491" s="1374"/>
      <c r="X491" s="1374"/>
      <c r="Y491" s="1374"/>
      <c r="Z491" s="1374"/>
      <c r="AA491" s="1374"/>
      <c r="AB491" s="1374"/>
      <c r="AC491" s="1374"/>
      <c r="AD491" s="1374"/>
      <c r="AE491" s="1374"/>
      <c r="AF491" s="1374"/>
      <c r="AG491" s="1374"/>
      <c r="AH491" s="1374"/>
      <c r="AI491" s="1374"/>
      <c r="AJ491" s="1374"/>
      <c r="AK491" s="1375"/>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373">
        <v>332</v>
      </c>
      <c r="R492" s="1374"/>
      <c r="S492" s="1374"/>
      <c r="T492" s="1374"/>
      <c r="U492" s="1374"/>
      <c r="V492" s="1374"/>
      <c r="W492" s="1374"/>
      <c r="X492" s="1374"/>
      <c r="Y492" s="1374"/>
      <c r="Z492" s="1374"/>
      <c r="AA492" s="1374"/>
      <c r="AB492" s="1374"/>
      <c r="AC492" s="1374"/>
      <c r="AD492" s="1374"/>
      <c r="AE492" s="1374"/>
      <c r="AF492" s="1374"/>
      <c r="AG492" s="1374"/>
      <c r="AH492" s="1374"/>
      <c r="AI492" s="1374"/>
      <c r="AJ492" s="1374"/>
      <c r="AK492" s="1375"/>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26">
        <v>196</v>
      </c>
      <c r="N493" s="1427"/>
      <c r="O493" s="1427"/>
      <c r="P493" s="1428"/>
      <c r="Q493" s="121" t="s">
        <v>1853</v>
      </c>
      <c r="R493" s="5"/>
      <c r="S493" s="5"/>
      <c r="T493" s="5"/>
      <c r="U493" s="5"/>
      <c r="V493" s="5"/>
      <c r="W493" s="5"/>
      <c r="X493" s="5"/>
      <c r="Y493" s="5"/>
      <c r="Z493" s="5"/>
      <c r="AA493" s="5"/>
      <c r="AB493" s="5"/>
      <c r="AC493" s="5"/>
      <c r="AD493" s="5"/>
      <c r="AE493" s="5"/>
      <c r="AF493" s="5"/>
      <c r="AG493" s="5"/>
      <c r="AH493" s="1426">
        <v>136</v>
      </c>
      <c r="AI493" s="1427"/>
      <c r="AJ493" s="1427"/>
      <c r="AK493" s="1428"/>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18" t="s">
        <v>403</v>
      </c>
      <c r="AD497" s="1414"/>
      <c r="AE497" s="1414"/>
      <c r="AF497" s="1414"/>
      <c r="AG497" s="1414"/>
      <c r="AH497" s="1414"/>
      <c r="AI497" s="1414"/>
      <c r="AJ497" s="1414"/>
      <c r="AK497" s="141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18" t="s">
        <v>404</v>
      </c>
      <c r="AD498" s="1414"/>
      <c r="AE498" s="1414"/>
      <c r="AF498" s="1414"/>
      <c r="AG498" s="50" t="s">
        <v>405</v>
      </c>
      <c r="AH498" s="1414" t="s">
        <v>406</v>
      </c>
      <c r="AI498" s="1414"/>
      <c r="AJ498" s="1414"/>
      <c r="AK498" s="141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5" t="s">
        <v>407</v>
      </c>
      <c r="C499" s="1406"/>
      <c r="D499" s="1406"/>
      <c r="E499" s="1406"/>
      <c r="F499" s="1406"/>
      <c r="G499" s="1406"/>
      <c r="H499" s="1407"/>
      <c r="I499" s="42" t="s">
        <v>408</v>
      </c>
      <c r="J499" s="42"/>
      <c r="K499" s="42"/>
      <c r="L499" s="42"/>
      <c r="M499" s="42"/>
      <c r="N499" s="42"/>
      <c r="O499" s="42"/>
      <c r="P499" s="42"/>
      <c r="Q499" s="42"/>
      <c r="R499" s="42"/>
      <c r="S499" s="42"/>
      <c r="T499" s="42"/>
      <c r="U499" s="42"/>
      <c r="V499" s="42"/>
      <c r="W499" s="42"/>
      <c r="AC499" s="1379" t="s">
        <v>601</v>
      </c>
      <c r="AD499" s="1380"/>
      <c r="AE499" s="1380"/>
      <c r="AF499" s="1380"/>
      <c r="AG499" s="13" t="s">
        <v>405</v>
      </c>
      <c r="AH499" s="1363" t="s">
        <v>601</v>
      </c>
      <c r="AI499" s="1363"/>
      <c r="AJ499" s="1363"/>
      <c r="AK499" s="1364"/>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08"/>
      <c r="C500" s="1409"/>
      <c r="D500" s="1409"/>
      <c r="E500" s="1409"/>
      <c r="F500" s="1409"/>
      <c r="G500" s="1409"/>
      <c r="H500" s="1410"/>
      <c r="I500" s="48" t="s">
        <v>409</v>
      </c>
      <c r="J500" s="48"/>
      <c r="K500" s="48"/>
      <c r="L500" s="48"/>
      <c r="M500" s="48"/>
      <c r="N500" s="48"/>
      <c r="O500" s="48"/>
      <c r="P500" s="48"/>
      <c r="Q500" s="48"/>
      <c r="R500" s="48"/>
      <c r="S500" s="48"/>
      <c r="T500" s="48"/>
      <c r="U500" s="48"/>
      <c r="V500" s="48"/>
      <c r="W500" s="48"/>
      <c r="X500" s="48"/>
      <c r="Y500" s="48"/>
      <c r="Z500" s="48"/>
      <c r="AA500" s="48"/>
      <c r="AB500" s="48"/>
      <c r="AC500" s="1379">
        <v>11</v>
      </c>
      <c r="AD500" s="1380"/>
      <c r="AE500" s="1380"/>
      <c r="AF500" s="1380"/>
      <c r="AG500" s="38" t="s">
        <v>405</v>
      </c>
      <c r="AH500" s="1363">
        <v>2023</v>
      </c>
      <c r="AI500" s="1363"/>
      <c r="AJ500" s="1363"/>
      <c r="AK500" s="1364"/>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5" t="s">
        <v>410</v>
      </c>
      <c r="C501" s="1406"/>
      <c r="D501" s="1406"/>
      <c r="E501" s="1406"/>
      <c r="F501" s="1406"/>
      <c r="G501" s="1406"/>
      <c r="H501" s="1407"/>
      <c r="I501" s="42" t="s">
        <v>411</v>
      </c>
      <c r="J501" s="42"/>
      <c r="K501" s="42"/>
      <c r="L501" s="42"/>
      <c r="M501" s="42"/>
      <c r="N501" s="42"/>
      <c r="O501" s="42"/>
      <c r="P501" s="42"/>
      <c r="Q501" s="42"/>
      <c r="R501" s="42"/>
      <c r="S501" s="42"/>
      <c r="T501" s="42"/>
      <c r="U501" s="42"/>
      <c r="V501" s="42"/>
      <c r="W501" s="42"/>
      <c r="AC501" s="1379" t="s">
        <v>601</v>
      </c>
      <c r="AD501" s="1380"/>
      <c r="AE501" s="1380"/>
      <c r="AF501" s="1380"/>
      <c r="AG501" s="13" t="s">
        <v>405</v>
      </c>
      <c r="AH501" s="1363" t="s">
        <v>601</v>
      </c>
      <c r="AI501" s="1363"/>
      <c r="AJ501" s="1363"/>
      <c r="AK501" s="136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08"/>
      <c r="C502" s="1409"/>
      <c r="D502" s="1409"/>
      <c r="E502" s="1409"/>
      <c r="F502" s="1409"/>
      <c r="G502" s="1409"/>
      <c r="H502" s="1410"/>
      <c r="I502" t="s">
        <v>412</v>
      </c>
      <c r="AC502" s="1379" t="s">
        <v>601</v>
      </c>
      <c r="AD502" s="1380"/>
      <c r="AE502" s="1380"/>
      <c r="AF502" s="1380"/>
      <c r="AG502" s="13" t="s">
        <v>405</v>
      </c>
      <c r="AH502" s="1363" t="s">
        <v>601</v>
      </c>
      <c r="AI502" s="1363"/>
      <c r="AJ502" s="1363"/>
      <c r="AK502" s="136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08"/>
      <c r="C503" s="1409"/>
      <c r="D503" s="1409"/>
      <c r="E503" s="1409"/>
      <c r="F503" s="1409"/>
      <c r="G503" s="1409"/>
      <c r="H503" s="1410"/>
      <c r="I503" t="s">
        <v>413</v>
      </c>
      <c r="AC503" s="1379">
        <v>8</v>
      </c>
      <c r="AD503" s="1380"/>
      <c r="AE503" s="1380"/>
      <c r="AF503" s="1380"/>
      <c r="AG503" s="13" t="s">
        <v>405</v>
      </c>
      <c r="AH503" s="1363">
        <v>2023</v>
      </c>
      <c r="AI503" s="1363"/>
      <c r="AJ503" s="1363"/>
      <c r="AK503" s="136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08"/>
      <c r="C504" s="1409"/>
      <c r="D504" s="1409"/>
      <c r="E504" s="1409"/>
      <c r="F504" s="1409"/>
      <c r="G504" s="1409"/>
      <c r="H504" s="1410"/>
      <c r="I504" t="s">
        <v>414</v>
      </c>
      <c r="AC504" s="1379">
        <v>11</v>
      </c>
      <c r="AD504" s="1380"/>
      <c r="AE504" s="1380"/>
      <c r="AF504" s="1380"/>
      <c r="AG504" s="13" t="s">
        <v>405</v>
      </c>
      <c r="AH504" s="1363">
        <v>2023</v>
      </c>
      <c r="AI504" s="1363"/>
      <c r="AJ504" s="1363"/>
      <c r="AK504" s="136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08"/>
      <c r="C505" s="1409"/>
      <c r="D505" s="1409"/>
      <c r="E505" s="1409"/>
      <c r="F505" s="1409"/>
      <c r="G505" s="1409"/>
      <c r="H505" s="1410"/>
      <c r="I505" s="3" t="s">
        <v>415</v>
      </c>
      <c r="AC505" s="1381">
        <v>9</v>
      </c>
      <c r="AD505" s="1382"/>
      <c r="AE505" s="1382"/>
      <c r="AF505" s="1382"/>
      <c r="AG505" s="13" t="s">
        <v>405</v>
      </c>
      <c r="AH505" s="1363">
        <v>2024</v>
      </c>
      <c r="AI505" s="1363"/>
      <c r="AJ505" s="1363"/>
      <c r="AK505" s="136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08"/>
      <c r="C506" s="1409"/>
      <c r="D506" s="1409"/>
      <c r="E506" s="1409"/>
      <c r="F506" s="1409"/>
      <c r="G506" s="1409"/>
      <c r="H506" s="1410"/>
      <c r="I506" s="930" t="s">
        <v>171</v>
      </c>
      <c r="J506" s="48"/>
      <c r="K506" s="48"/>
      <c r="L506" s="1403" t="s">
        <v>336</v>
      </c>
      <c r="M506" s="1404"/>
      <c r="N506" s="1404"/>
      <c r="O506" s="1404"/>
      <c r="P506" s="1404"/>
      <c r="Q506" s="1404"/>
      <c r="R506" s="1404"/>
      <c r="S506" s="1404"/>
      <c r="T506" s="1404"/>
      <c r="U506" s="1404"/>
      <c r="V506" s="1404"/>
      <c r="W506" s="1404"/>
      <c r="X506" s="1404"/>
      <c r="Y506" s="1404"/>
      <c r="Z506" s="1404"/>
      <c r="AA506" s="1404"/>
      <c r="AB506" s="1433"/>
      <c r="AC506" s="1379" t="s">
        <v>601</v>
      </c>
      <c r="AD506" s="1380"/>
      <c r="AE506" s="1380"/>
      <c r="AF506" s="1380"/>
      <c r="AG506" s="38" t="s">
        <v>405</v>
      </c>
      <c r="AH506" s="1363" t="s">
        <v>601</v>
      </c>
      <c r="AI506" s="1363"/>
      <c r="AJ506" s="1363"/>
      <c r="AK506" s="1364"/>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365" t="s">
        <v>555</v>
      </c>
      <c r="AD507" s="1365"/>
      <c r="AE507" s="1365"/>
      <c r="AF507" s="1365"/>
      <c r="AG507" s="13"/>
      <c r="AH507" s="1301"/>
      <c r="AI507" s="1301"/>
      <c r="AJ507" s="1301"/>
      <c r="AK507" s="138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81">
        <v>3</v>
      </c>
      <c r="AD508" s="1382"/>
      <c r="AE508" s="1382"/>
      <c r="AF508" s="1383"/>
      <c r="AG508" s="13"/>
      <c r="AH508" s="1301"/>
      <c r="AI508" s="1301"/>
      <c r="AJ508" s="1301"/>
      <c r="AK508" s="138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1257"/>
      <c r="AD509" s="1259"/>
      <c r="AE509" s="1259"/>
      <c r="AF509" s="1258"/>
      <c r="AG509" s="13"/>
      <c r="AH509" s="1"/>
      <c r="AI509" s="1"/>
      <c r="AJ509" s="1"/>
      <c r="AK509" s="1040"/>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1" t="s">
        <v>1857</v>
      </c>
      <c r="J510" s="48"/>
      <c r="K510" s="48"/>
      <c r="L510" s="48"/>
      <c r="M510" s="48"/>
      <c r="N510" s="48"/>
      <c r="O510" s="48"/>
      <c r="P510" s="48"/>
      <c r="Q510" s="48"/>
      <c r="R510" s="48"/>
      <c r="S510" s="48"/>
      <c r="T510" s="48"/>
      <c r="U510" s="48"/>
      <c r="V510" s="48"/>
      <c r="W510" s="48"/>
      <c r="X510" s="48"/>
      <c r="Y510" s="48"/>
      <c r="Z510" s="48"/>
      <c r="AA510" s="48"/>
      <c r="AB510" s="48"/>
      <c r="AC510" s="1385">
        <v>1</v>
      </c>
      <c r="AD510" s="1386"/>
      <c r="AE510" s="1386"/>
      <c r="AF510" s="1387"/>
      <c r="AG510" s="38"/>
      <c r="AH510" s="1388"/>
      <c r="AI510" s="1388"/>
      <c r="AJ510" s="1388"/>
      <c r="AK510" s="138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1"/>
      <c r="Y511" s="1041"/>
      <c r="Z511" s="1041"/>
      <c r="AA511" s="1041"/>
      <c r="AB511" s="1048"/>
      <c r="AC511" s="1464" t="s">
        <v>404</v>
      </c>
      <c r="AD511" s="1465"/>
      <c r="AE511" s="1465"/>
      <c r="AF511" s="1465"/>
      <c r="AG511" s="38" t="s">
        <v>405</v>
      </c>
      <c r="AH511" s="1465" t="s">
        <v>406</v>
      </c>
      <c r="AI511" s="1465"/>
      <c r="AJ511" s="1465"/>
      <c r="AK511" s="1466"/>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5" t="s">
        <v>416</v>
      </c>
      <c r="C512" s="1406"/>
      <c r="D512" s="1406"/>
      <c r="E512" s="1406"/>
      <c r="F512" s="1406"/>
      <c r="G512" s="1406"/>
      <c r="H512" s="1407"/>
      <c r="I512" s="42" t="s">
        <v>417</v>
      </c>
      <c r="J512" s="42"/>
      <c r="K512" s="42"/>
      <c r="L512" s="42"/>
      <c r="M512" s="42"/>
      <c r="N512" s="42"/>
      <c r="O512" s="42"/>
      <c r="P512" s="42"/>
      <c r="Q512" s="42"/>
      <c r="R512" s="42"/>
      <c r="S512" s="42"/>
      <c r="T512" s="42"/>
      <c r="U512" s="42"/>
      <c r="V512" s="42"/>
      <c r="W512" s="42"/>
      <c r="AC512" s="1379">
        <v>3</v>
      </c>
      <c r="AD512" s="1380"/>
      <c r="AE512" s="1380"/>
      <c r="AF512" s="1380"/>
      <c r="AG512" s="13" t="s">
        <v>405</v>
      </c>
      <c r="AH512" s="1363">
        <v>2023</v>
      </c>
      <c r="AI512" s="1363"/>
      <c r="AJ512" s="1363"/>
      <c r="AK512" s="1364"/>
      <c r="AZ512" s="3"/>
      <c r="BA512" s="3"/>
      <c r="BB512" s="3"/>
      <c r="BC512" s="3"/>
      <c r="BD512" s="3"/>
      <c r="BE512" s="3"/>
      <c r="BF512" s="3"/>
      <c r="BG512" s="3"/>
      <c r="BH512" s="3"/>
      <c r="BI512" s="3"/>
      <c r="BJ512" s="3"/>
      <c r="BK512" s="3"/>
      <c r="BL512" s="3"/>
      <c r="BM512" s="3"/>
      <c r="BN512" s="3" t="s">
        <v>2525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08"/>
      <c r="C513" s="1409"/>
      <c r="D513" s="1409"/>
      <c r="E513" s="1409"/>
      <c r="F513" s="1409"/>
      <c r="G513" s="1409"/>
      <c r="H513" s="1410"/>
      <c r="I513" t="s">
        <v>418</v>
      </c>
      <c r="AC513" s="1379">
        <v>3</v>
      </c>
      <c r="AD513" s="1380"/>
      <c r="AE513" s="1380"/>
      <c r="AF513" s="1380"/>
      <c r="AG513" s="13" t="s">
        <v>405</v>
      </c>
      <c r="AH513" s="1363">
        <v>2023</v>
      </c>
      <c r="AI513" s="1363"/>
      <c r="AJ513" s="1363"/>
      <c r="AK513" s="1364"/>
      <c r="AZ513" s="3"/>
      <c r="BA513" s="3"/>
      <c r="BB513" s="3"/>
      <c r="BC513" s="3"/>
      <c r="BD513" s="3"/>
      <c r="BE513" s="3"/>
      <c r="BF513" s="3"/>
      <c r="BG513" s="3"/>
      <c r="BH513" s="3"/>
      <c r="BI513" s="3"/>
      <c r="BJ513" s="3"/>
      <c r="BK513" s="3"/>
      <c r="BL513" s="3"/>
      <c r="BM513" s="3"/>
      <c r="BN513" s="3" t="s">
        <v>2526</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08"/>
      <c r="C514" s="1409"/>
      <c r="D514" s="1409"/>
      <c r="E514" s="1409"/>
      <c r="F514" s="1409"/>
      <c r="G514" s="1409"/>
      <c r="H514" s="1410"/>
      <c r="I514" s="48" t="s">
        <v>419</v>
      </c>
      <c r="J514" s="48"/>
      <c r="K514" s="48"/>
      <c r="L514" s="48"/>
      <c r="M514" s="48"/>
      <c r="N514" s="48"/>
      <c r="O514" s="48"/>
      <c r="P514" s="48"/>
      <c r="Q514" s="48"/>
      <c r="R514" s="48"/>
      <c r="S514" s="48"/>
      <c r="T514" s="48"/>
      <c r="U514" s="48"/>
      <c r="V514" s="48"/>
      <c r="W514" s="48"/>
      <c r="X514" s="48"/>
      <c r="Y514" s="48"/>
      <c r="Z514" s="48"/>
      <c r="AA514" s="48"/>
      <c r="AB514" s="48"/>
      <c r="AC514" s="1379">
        <v>2</v>
      </c>
      <c r="AD514" s="1380"/>
      <c r="AE514" s="1380"/>
      <c r="AF514" s="1380"/>
      <c r="AG514" s="38" t="s">
        <v>405</v>
      </c>
      <c r="AH514" s="1363">
        <v>2024</v>
      </c>
      <c r="AI514" s="1363"/>
      <c r="AJ514" s="1363"/>
      <c r="AK514" s="1364"/>
      <c r="AZ514" s="3"/>
      <c r="BA514" s="3"/>
      <c r="BB514" s="3"/>
      <c r="BC514" s="3"/>
      <c r="BD514" s="3"/>
      <c r="BE514" s="3"/>
      <c r="BF514" s="3"/>
      <c r="BG514" s="3"/>
      <c r="BH514" s="3"/>
      <c r="BI514" s="3"/>
      <c r="BJ514" s="3"/>
      <c r="BK514" s="3"/>
      <c r="BL514" s="3"/>
      <c r="BM514" s="3"/>
      <c r="BN514" s="3" t="s">
        <v>2527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5" t="s">
        <v>420</v>
      </c>
      <c r="C515" s="1406"/>
      <c r="D515" s="1406"/>
      <c r="E515" s="1406"/>
      <c r="F515" s="1406"/>
      <c r="G515" s="1406"/>
      <c r="H515" s="1407"/>
      <c r="I515" s="42" t="s">
        <v>417</v>
      </c>
      <c r="J515" s="42"/>
      <c r="K515" s="42"/>
      <c r="L515" s="42"/>
      <c r="M515" s="42"/>
      <c r="N515" s="42"/>
      <c r="O515" s="42"/>
      <c r="P515" s="42"/>
      <c r="Q515" s="42"/>
      <c r="R515" s="42"/>
      <c r="S515" s="42"/>
      <c r="T515" s="42"/>
      <c r="U515" s="42"/>
      <c r="V515" s="42"/>
      <c r="W515" s="42"/>
      <c r="X515" s="42"/>
      <c r="Y515" s="42"/>
      <c r="Z515" s="42"/>
      <c r="AA515" s="42"/>
      <c r="AB515" s="42"/>
      <c r="AC515" s="1381">
        <v>3</v>
      </c>
      <c r="AD515" s="1382"/>
      <c r="AE515" s="1382"/>
      <c r="AF515" s="1382"/>
      <c r="AG515" s="129" t="s">
        <v>405</v>
      </c>
      <c r="AH515" s="1363">
        <v>2023</v>
      </c>
      <c r="AI515" s="1363"/>
      <c r="AJ515" s="1363"/>
      <c r="AK515" s="1364"/>
      <c r="AZ515" s="3"/>
      <c r="BA515" s="3"/>
      <c r="BB515" s="3"/>
      <c r="BC515" s="3"/>
      <c r="BD515" s="3"/>
      <c r="BE515" s="3"/>
      <c r="BF515" s="3"/>
      <c r="BG515" s="3"/>
      <c r="BH515" s="3"/>
      <c r="BI515" s="3"/>
      <c r="BJ515" s="3"/>
      <c r="BK515" s="3"/>
      <c r="BL515" s="3"/>
      <c r="BM515" s="3"/>
      <c r="BN515" s="3" t="s">
        <v>2528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08"/>
      <c r="C516" s="1409"/>
      <c r="D516" s="1409"/>
      <c r="E516" s="1409"/>
      <c r="F516" s="1409"/>
      <c r="G516" s="1409"/>
      <c r="H516" s="1410"/>
      <c r="I516" t="s">
        <v>418</v>
      </c>
      <c r="AC516" s="1379">
        <v>3</v>
      </c>
      <c r="AD516" s="1380"/>
      <c r="AE516" s="1380"/>
      <c r="AF516" s="1380"/>
      <c r="AG516" s="13" t="s">
        <v>405</v>
      </c>
      <c r="AH516" s="1363">
        <v>2023</v>
      </c>
      <c r="AI516" s="1363"/>
      <c r="AJ516" s="1363"/>
      <c r="AK516" s="1364"/>
      <c r="AZ516" s="3"/>
      <c r="BB516" s="3"/>
      <c r="BC516" s="3"/>
      <c r="BD516" s="3"/>
      <c r="BE516" s="3"/>
      <c r="BF516" s="3"/>
      <c r="BG516" s="3"/>
      <c r="BH516" s="3"/>
      <c r="BI516" s="3"/>
      <c r="BJ516" s="3"/>
      <c r="BK516" s="3"/>
      <c r="BL516" s="3"/>
      <c r="BM516" s="3"/>
      <c r="BN516" s="3" t="s">
        <v>2529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1"/>
      <c r="C517" s="1412"/>
      <c r="D517" s="1412"/>
      <c r="E517" s="1412"/>
      <c r="F517" s="1412"/>
      <c r="G517" s="1412"/>
      <c r="H517" s="1413"/>
      <c r="I517" s="48" t="s">
        <v>419</v>
      </c>
      <c r="J517" s="48"/>
      <c r="K517" s="48"/>
      <c r="L517" s="48"/>
      <c r="M517" s="48"/>
      <c r="N517" s="48"/>
      <c r="O517" s="48"/>
      <c r="P517" s="48"/>
      <c r="Q517" s="48"/>
      <c r="R517" s="48"/>
      <c r="S517" s="48"/>
      <c r="T517" s="48"/>
      <c r="U517" s="48"/>
      <c r="V517" s="48"/>
      <c r="W517" s="48"/>
      <c r="X517" s="48"/>
      <c r="Y517" s="48"/>
      <c r="Z517" s="48"/>
      <c r="AA517" s="48"/>
      <c r="AB517" s="48"/>
      <c r="AC517" s="1379">
        <v>5</v>
      </c>
      <c r="AD517" s="1380"/>
      <c r="AE517" s="1380"/>
      <c r="AF517" s="1380"/>
      <c r="AG517" s="38" t="s">
        <v>405</v>
      </c>
      <c r="AH517" s="1363">
        <v>2026</v>
      </c>
      <c r="AI517" s="1363"/>
      <c r="AJ517" s="1363"/>
      <c r="AK517" s="1364"/>
      <c r="BB517" s="3"/>
      <c r="BC517" s="3"/>
      <c r="BD517" s="3"/>
      <c r="BE517" s="3"/>
      <c r="BF517" s="3"/>
      <c r="BG517" s="3"/>
      <c r="BH517" s="3"/>
      <c r="BI517" s="3"/>
      <c r="BJ517" s="3"/>
      <c r="BK517" s="3"/>
      <c r="BL517" s="3"/>
      <c r="BM517" s="3"/>
      <c r="BN517" s="3" t="s">
        <v>2530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5" t="s">
        <v>421</v>
      </c>
      <c r="C518" s="1406"/>
      <c r="D518" s="1406"/>
      <c r="E518" s="1406"/>
      <c r="F518" s="1406"/>
      <c r="G518" s="1406"/>
      <c r="H518" s="1407"/>
      <c r="I518" s="41" t="s">
        <v>422</v>
      </c>
      <c r="J518" s="42"/>
      <c r="K518" s="42"/>
      <c r="L518" s="42"/>
      <c r="M518" s="42"/>
      <c r="N518" s="42"/>
      <c r="O518" s="1403" t="s">
        <v>2576</v>
      </c>
      <c r="P518" s="1404"/>
      <c r="Q518" s="1404"/>
      <c r="R518" s="1404"/>
      <c r="S518" s="1404"/>
      <c r="T518" s="1404"/>
      <c r="U518" s="1404"/>
      <c r="V518" s="1404"/>
      <c r="W518" s="1404"/>
      <c r="X518" s="1404"/>
      <c r="Y518" s="1404"/>
      <c r="Z518" s="1404"/>
      <c r="AA518" s="1404"/>
      <c r="AB518" s="58"/>
      <c r="AC518" s="1381"/>
      <c r="AD518" s="1382"/>
      <c r="AE518" s="1382"/>
      <c r="AF518" s="1382"/>
      <c r="AG518" s="129" t="s">
        <v>405</v>
      </c>
      <c r="AH518" s="1363"/>
      <c r="AI518" s="1363"/>
      <c r="AJ518" s="1363"/>
      <c r="AK518" s="1364"/>
      <c r="BB518" s="3"/>
      <c r="BC518" s="3"/>
      <c r="BD518" s="3"/>
      <c r="BE518" s="3"/>
      <c r="BF518" s="3"/>
      <c r="BG518" s="3"/>
      <c r="BH518" s="3"/>
      <c r="BI518" s="3"/>
      <c r="BJ518" s="3"/>
      <c r="BK518" s="3"/>
      <c r="BL518" s="3"/>
      <c r="BM518" s="3"/>
      <c r="BN518" s="3" t="s">
        <v>2531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08"/>
      <c r="C519" s="1409"/>
      <c r="D519" s="1409"/>
      <c r="E519" s="1409"/>
      <c r="F519" s="1409"/>
      <c r="G519" s="1409"/>
      <c r="H519" s="1410"/>
      <c r="I519" s="114" t="s">
        <v>423</v>
      </c>
      <c r="AB519" s="65"/>
      <c r="AC519" s="1379">
        <v>3</v>
      </c>
      <c r="AD519" s="1380"/>
      <c r="AE519" s="1380"/>
      <c r="AF519" s="1380"/>
      <c r="AG519" s="13" t="s">
        <v>405</v>
      </c>
      <c r="AH519" s="1363">
        <v>2023</v>
      </c>
      <c r="AI519" s="1363"/>
      <c r="AJ519" s="1363"/>
      <c r="AK519" s="1364"/>
      <c r="AZ519" s="3"/>
      <c r="BB519" s="3"/>
      <c r="BC519" s="3"/>
      <c r="BD519" s="3"/>
      <c r="BE519" s="3"/>
      <c r="BF519" s="3"/>
      <c r="BG519" s="3"/>
      <c r="BH519" s="3"/>
      <c r="BI519" s="3"/>
      <c r="BJ519" s="3"/>
      <c r="BK519" s="3"/>
      <c r="BL519" s="3"/>
      <c r="BM519" s="3"/>
      <c r="BN519" s="3" t="s">
        <v>2532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08"/>
      <c r="C520" s="1409"/>
      <c r="D520" s="1409"/>
      <c r="E520" s="1409"/>
      <c r="F520" s="1409"/>
      <c r="G520" s="1409"/>
      <c r="H520" s="1410"/>
      <c r="I520" s="47" t="s">
        <v>424</v>
      </c>
      <c r="J520" s="48"/>
      <c r="K520" s="48"/>
      <c r="L520" s="48"/>
      <c r="M520" s="48"/>
      <c r="N520" s="48"/>
      <c r="O520" s="48"/>
      <c r="P520" s="48"/>
      <c r="Q520" s="48"/>
      <c r="R520" s="48"/>
      <c r="S520" s="48"/>
      <c r="T520" s="48"/>
      <c r="U520" s="48"/>
      <c r="V520" s="48"/>
      <c r="W520" s="48"/>
      <c r="X520" s="48"/>
      <c r="Y520" s="48"/>
      <c r="Z520" s="48"/>
      <c r="AA520" s="48"/>
      <c r="AB520" s="49"/>
      <c r="AC520" s="1379">
        <v>5</v>
      </c>
      <c r="AD520" s="1380"/>
      <c r="AE520" s="1380"/>
      <c r="AF520" s="1380"/>
      <c r="AG520" s="38" t="s">
        <v>405</v>
      </c>
      <c r="AH520" s="1363">
        <v>2026</v>
      </c>
      <c r="AI520" s="1363"/>
      <c r="AJ520" s="1363"/>
      <c r="AK520" s="1364"/>
      <c r="AZ520" s="3"/>
      <c r="BB520" s="3"/>
      <c r="BC520" s="3"/>
      <c r="BD520" s="3"/>
      <c r="BE520" s="3"/>
      <c r="BF520" s="3"/>
      <c r="BG520" s="3"/>
      <c r="BH520" s="3"/>
      <c r="BI520" s="3"/>
      <c r="BJ520" s="3"/>
      <c r="BK520" s="3"/>
      <c r="BL520" s="3"/>
      <c r="BM520" s="3"/>
      <c r="BN520" s="3" t="s">
        <v>2533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08"/>
      <c r="C521" s="1409"/>
      <c r="D521" s="1409"/>
      <c r="E521" s="1409"/>
      <c r="F521" s="1409"/>
      <c r="G521" s="1409"/>
      <c r="H521" s="1410"/>
      <c r="I521" s="42" t="s">
        <v>425</v>
      </c>
      <c r="J521" s="42"/>
      <c r="K521" s="42"/>
      <c r="L521" s="42"/>
      <c r="M521" s="42"/>
      <c r="N521" s="42"/>
      <c r="O521" s="1403" t="s">
        <v>336</v>
      </c>
      <c r="P521" s="1404"/>
      <c r="Q521" s="1404"/>
      <c r="R521" s="1404"/>
      <c r="S521" s="1404"/>
      <c r="T521" s="1404"/>
      <c r="U521" s="1404"/>
      <c r="V521" s="1404"/>
      <c r="W521" s="1404"/>
      <c r="X521" s="1404"/>
      <c r="Y521" s="1404"/>
      <c r="Z521" s="1404"/>
      <c r="AA521" s="1404"/>
      <c r="AC521" s="1379" t="s">
        <v>601</v>
      </c>
      <c r="AD521" s="1380"/>
      <c r="AE521" s="1380"/>
      <c r="AF521" s="1380"/>
      <c r="AG521" s="13" t="s">
        <v>405</v>
      </c>
      <c r="AH521" s="1363" t="s">
        <v>601</v>
      </c>
      <c r="AI521" s="1363"/>
      <c r="AJ521" s="1363"/>
      <c r="AK521" s="1364"/>
      <c r="AZ521" s="3"/>
      <c r="BA521" s="3"/>
      <c r="BB521" s="3"/>
      <c r="BC521" s="3"/>
      <c r="BD521" s="3"/>
      <c r="BE521" s="3"/>
      <c r="BF521" s="3"/>
      <c r="BG521" s="3"/>
      <c r="BH521" s="3"/>
      <c r="BI521" s="3"/>
      <c r="BJ521" s="3"/>
      <c r="BK521" s="3"/>
      <c r="BL521" s="3"/>
      <c r="BM521" s="3"/>
      <c r="BN521" s="3" t="s">
        <v>2534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08"/>
      <c r="C522" s="1409"/>
      <c r="D522" s="1409"/>
      <c r="E522" s="1409"/>
      <c r="F522" s="1409"/>
      <c r="G522" s="1409"/>
      <c r="H522" s="1410"/>
      <c r="I522" t="s">
        <v>423</v>
      </c>
      <c r="AC522" s="1379" t="s">
        <v>601</v>
      </c>
      <c r="AD522" s="1380"/>
      <c r="AE522" s="1380"/>
      <c r="AF522" s="1380"/>
      <c r="AG522" s="13" t="s">
        <v>405</v>
      </c>
      <c r="AH522" s="1363" t="s">
        <v>601</v>
      </c>
      <c r="AI522" s="1363"/>
      <c r="AJ522" s="1363"/>
      <c r="AK522" s="1364"/>
      <c r="AZ522" s="3"/>
      <c r="BA522" s="3"/>
      <c r="BB522" s="3"/>
      <c r="BC522" s="3"/>
      <c r="BD522" s="3"/>
      <c r="BE522" s="3"/>
      <c r="BF522" s="3"/>
      <c r="BG522" s="3"/>
      <c r="BH522" s="3"/>
      <c r="BI522" s="3"/>
      <c r="BJ522" s="3"/>
      <c r="BK522" s="3"/>
      <c r="BL522" s="3"/>
      <c r="BM522" s="3"/>
      <c r="BN522" s="3" t="s">
        <v>2535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08"/>
      <c r="C523" s="1409"/>
      <c r="D523" s="1409"/>
      <c r="E523" s="1409"/>
      <c r="F523" s="1409"/>
      <c r="G523" s="1409"/>
      <c r="H523" s="1410"/>
      <c r="I523" s="48" t="s">
        <v>424</v>
      </c>
      <c r="J523" s="48"/>
      <c r="K523" s="48"/>
      <c r="L523" s="48"/>
      <c r="M523" s="48"/>
      <c r="N523" s="48"/>
      <c r="O523" s="48"/>
      <c r="P523" s="48"/>
      <c r="Q523" s="48"/>
      <c r="R523" s="48"/>
      <c r="S523" s="48"/>
      <c r="T523" s="48"/>
      <c r="U523" s="48"/>
      <c r="V523" s="48"/>
      <c r="W523" s="48"/>
      <c r="X523" s="48"/>
      <c r="Y523" s="48"/>
      <c r="Z523" s="48"/>
      <c r="AA523" s="48"/>
      <c r="AB523" s="48"/>
      <c r="AC523" s="1379" t="s">
        <v>601</v>
      </c>
      <c r="AD523" s="1380"/>
      <c r="AE523" s="1380"/>
      <c r="AF523" s="1380"/>
      <c r="AG523" s="38" t="s">
        <v>405</v>
      </c>
      <c r="AH523" s="1363" t="s">
        <v>601</v>
      </c>
      <c r="AI523" s="1363"/>
      <c r="AJ523" s="1363"/>
      <c r="AK523" s="1364"/>
      <c r="AZ523" s="3"/>
      <c r="BA523" s="3"/>
      <c r="BB523" s="3"/>
      <c r="BC523" s="3"/>
      <c r="BD523" s="3"/>
      <c r="BE523" s="3"/>
      <c r="BF523" s="3"/>
      <c r="BG523" s="3"/>
      <c r="BH523" s="3"/>
      <c r="BI523" s="3"/>
      <c r="BJ523" s="3"/>
      <c r="BK523" s="3"/>
      <c r="BL523" s="3"/>
      <c r="BM523" s="3"/>
      <c r="BN523" s="3" t="s">
        <v>2536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08"/>
      <c r="C524" s="1409"/>
      <c r="D524" s="1409"/>
      <c r="E524" s="1409"/>
      <c r="F524" s="1409"/>
      <c r="G524" s="1409"/>
      <c r="H524" s="1410"/>
      <c r="I524" s="42" t="s">
        <v>425</v>
      </c>
      <c r="J524" s="42"/>
      <c r="K524" s="42"/>
      <c r="L524" s="42"/>
      <c r="M524" s="42"/>
      <c r="N524" s="42"/>
      <c r="O524" s="1403" t="s">
        <v>336</v>
      </c>
      <c r="P524" s="1404"/>
      <c r="Q524" s="1404"/>
      <c r="R524" s="1404"/>
      <c r="S524" s="1404"/>
      <c r="T524" s="1404"/>
      <c r="U524" s="1404"/>
      <c r="V524" s="1404"/>
      <c r="W524" s="1404"/>
      <c r="X524" s="1404"/>
      <c r="Y524" s="1404"/>
      <c r="Z524" s="1404"/>
      <c r="AA524" s="1404"/>
      <c r="AC524" s="1379" t="s">
        <v>601</v>
      </c>
      <c r="AD524" s="1380"/>
      <c r="AE524" s="1380"/>
      <c r="AF524" s="1380"/>
      <c r="AG524" s="13" t="s">
        <v>405</v>
      </c>
      <c r="AH524" s="1363" t="s">
        <v>601</v>
      </c>
      <c r="AI524" s="1363"/>
      <c r="AJ524" s="1363"/>
      <c r="AK524" s="1364"/>
      <c r="AZ524" s="3"/>
      <c r="BA524" s="3"/>
      <c r="BB524" s="3"/>
      <c r="BC524" s="3"/>
      <c r="BD524" s="3"/>
      <c r="BE524" s="3"/>
      <c r="BF524" s="3"/>
      <c r="BG524" s="3"/>
      <c r="BH524" s="3"/>
      <c r="BI524" s="3"/>
      <c r="BJ524" s="3"/>
      <c r="BK524" s="3"/>
      <c r="BL524" s="3"/>
      <c r="BM524" s="3"/>
      <c r="BN524" s="3" t="s">
        <v>2537</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08"/>
      <c r="C525" s="1409"/>
      <c r="D525" s="1409"/>
      <c r="E525" s="1409"/>
      <c r="F525" s="1409"/>
      <c r="G525" s="1409"/>
      <c r="H525" s="1410"/>
      <c r="I525" t="s">
        <v>423</v>
      </c>
      <c r="AC525" s="1379" t="s">
        <v>601</v>
      </c>
      <c r="AD525" s="1380"/>
      <c r="AE525" s="1380"/>
      <c r="AF525" s="1380"/>
      <c r="AG525" s="13" t="s">
        <v>405</v>
      </c>
      <c r="AH525" s="1363" t="s">
        <v>601</v>
      </c>
      <c r="AI525" s="1363"/>
      <c r="AJ525" s="1363"/>
      <c r="AK525" s="1364"/>
      <c r="AZ525" s="3"/>
      <c r="BA525" s="3"/>
      <c r="BB525" s="3"/>
      <c r="BC525" s="3"/>
      <c r="BD525" s="3"/>
      <c r="BE525" s="3"/>
      <c r="BF525" s="3"/>
      <c r="BG525" s="3"/>
      <c r="BH525" s="3"/>
      <c r="BI525" s="3"/>
      <c r="BJ525" s="3"/>
      <c r="BK525" s="3"/>
      <c r="BL525" s="3"/>
      <c r="BM525" s="3"/>
      <c r="BN525" s="3" t="s">
        <v>2538</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8"/>
      <c r="C526" s="1409"/>
      <c r="D526" s="1409"/>
      <c r="E526" s="1409"/>
      <c r="F526" s="1409"/>
      <c r="G526" s="1409"/>
      <c r="H526" s="1410"/>
      <c r="I526" s="48" t="s">
        <v>424</v>
      </c>
      <c r="J526" s="48"/>
      <c r="K526" s="48"/>
      <c r="L526" s="48"/>
      <c r="M526" s="48"/>
      <c r="N526" s="48"/>
      <c r="O526" s="48"/>
      <c r="P526" s="48"/>
      <c r="Q526" s="48"/>
      <c r="R526" s="48"/>
      <c r="S526" s="48"/>
      <c r="T526" s="48"/>
      <c r="U526" s="48"/>
      <c r="V526" s="48"/>
      <c r="W526" s="48"/>
      <c r="X526" s="48"/>
      <c r="Y526" s="48"/>
      <c r="Z526" s="48"/>
      <c r="AA526" s="48"/>
      <c r="AB526" s="48"/>
      <c r="AC526" s="1379" t="s">
        <v>601</v>
      </c>
      <c r="AD526" s="1380"/>
      <c r="AE526" s="1380"/>
      <c r="AF526" s="1380"/>
      <c r="AG526" s="38" t="s">
        <v>405</v>
      </c>
      <c r="AH526" s="1363" t="s">
        <v>601</v>
      </c>
      <c r="AI526" s="1363"/>
      <c r="AJ526" s="1363"/>
      <c r="AK526" s="1364"/>
      <c r="AZ526" s="3"/>
      <c r="BA526" s="3"/>
      <c r="BB526" s="3"/>
      <c r="BC526" s="3"/>
      <c r="BD526" s="3"/>
      <c r="BE526" s="3"/>
      <c r="BF526" s="3"/>
      <c r="BG526" s="3"/>
      <c r="BH526" s="3"/>
      <c r="BI526" s="3"/>
      <c r="BJ526" s="3"/>
      <c r="BK526" s="3"/>
      <c r="BL526" s="3"/>
      <c r="BM526" s="3"/>
      <c r="BN526" s="3" t="s">
        <v>2539</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8"/>
      <c r="C527" s="1409"/>
      <c r="D527" s="1409"/>
      <c r="E527" s="1409"/>
      <c r="F527" s="1409"/>
      <c r="G527" s="1409"/>
      <c r="H527" s="1410"/>
      <c r="I527" s="42" t="s">
        <v>425</v>
      </c>
      <c r="J527" s="42"/>
      <c r="K527" s="42"/>
      <c r="L527" s="42"/>
      <c r="M527" s="42"/>
      <c r="N527" s="42"/>
      <c r="O527" s="1403" t="s">
        <v>336</v>
      </c>
      <c r="P527" s="1404"/>
      <c r="Q527" s="1404"/>
      <c r="R527" s="1404"/>
      <c r="S527" s="1404"/>
      <c r="T527" s="1404"/>
      <c r="U527" s="1404"/>
      <c r="V527" s="1404"/>
      <c r="W527" s="1404"/>
      <c r="X527" s="1404"/>
      <c r="Y527" s="1404"/>
      <c r="Z527" s="1404"/>
      <c r="AA527" s="1404"/>
      <c r="AC527" s="1379" t="s">
        <v>601</v>
      </c>
      <c r="AD527" s="1380"/>
      <c r="AE527" s="1380"/>
      <c r="AF527" s="1380"/>
      <c r="AG527" s="13" t="s">
        <v>405</v>
      </c>
      <c r="AH527" s="1363" t="s">
        <v>601</v>
      </c>
      <c r="AI527" s="1363"/>
      <c r="AJ527" s="1363"/>
      <c r="AK527" s="1364"/>
      <c r="AZ527" s="3"/>
      <c r="BA527" s="3"/>
      <c r="BB527" s="3"/>
      <c r="BC527" s="3"/>
      <c r="BD527" s="3"/>
      <c r="BE527" s="3"/>
      <c r="BF527" s="3"/>
      <c r="BG527" s="3"/>
      <c r="BH527" s="3"/>
      <c r="BI527" s="3"/>
      <c r="BJ527" s="3"/>
      <c r="BK527" s="3"/>
      <c r="BL527" s="3"/>
      <c r="BM527" s="3"/>
      <c r="BN527" s="3" t="s">
        <v>2540</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8"/>
      <c r="C528" s="1409"/>
      <c r="D528" s="1409"/>
      <c r="E528" s="1409"/>
      <c r="F528" s="1409"/>
      <c r="G528" s="1409"/>
      <c r="H528" s="1410"/>
      <c r="I528" t="s">
        <v>423</v>
      </c>
      <c r="AC528" s="1379" t="s">
        <v>601</v>
      </c>
      <c r="AD528" s="1380"/>
      <c r="AE528" s="1380"/>
      <c r="AF528" s="1380"/>
      <c r="AG528" s="13" t="s">
        <v>405</v>
      </c>
      <c r="AH528" s="1363" t="s">
        <v>601</v>
      </c>
      <c r="AI528" s="1363"/>
      <c r="AJ528" s="1363"/>
      <c r="AK528" s="1364"/>
      <c r="AZ528" s="3"/>
      <c r="BA528" s="3"/>
      <c r="BB528" s="3"/>
      <c r="BC528" s="3"/>
      <c r="BD528" s="3"/>
      <c r="BE528" s="3"/>
      <c r="BF528" s="3"/>
      <c r="BG528" s="3"/>
      <c r="BH528" s="3"/>
      <c r="BI528" s="3"/>
      <c r="BJ528" s="3"/>
      <c r="BK528" s="3"/>
      <c r="BL528" s="3"/>
      <c r="BM528" s="3"/>
      <c r="BN528" s="3" t="s">
        <v>2541</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8"/>
      <c r="C529" s="1409"/>
      <c r="D529" s="1409"/>
      <c r="E529" s="1409"/>
      <c r="F529" s="1409"/>
      <c r="G529" s="1409"/>
      <c r="H529" s="1410"/>
      <c r="I529" s="48" t="s">
        <v>424</v>
      </c>
      <c r="J529" s="48"/>
      <c r="K529" s="48"/>
      <c r="L529" s="48"/>
      <c r="M529" s="48"/>
      <c r="N529" s="48"/>
      <c r="O529" s="48"/>
      <c r="P529" s="48"/>
      <c r="Q529" s="48"/>
      <c r="R529" s="48"/>
      <c r="S529" s="48"/>
      <c r="T529" s="48"/>
      <c r="U529" s="48"/>
      <c r="V529" s="48"/>
      <c r="W529" s="48"/>
      <c r="X529" s="48"/>
      <c r="Y529" s="48"/>
      <c r="Z529" s="48"/>
      <c r="AA529" s="48"/>
      <c r="AB529" s="48"/>
      <c r="AC529" s="1379" t="s">
        <v>601</v>
      </c>
      <c r="AD529" s="1380"/>
      <c r="AE529" s="1380"/>
      <c r="AF529" s="1380"/>
      <c r="AG529" s="38" t="s">
        <v>405</v>
      </c>
      <c r="AH529" s="1363" t="s">
        <v>601</v>
      </c>
      <c r="AI529" s="1363"/>
      <c r="AJ529" s="1363"/>
      <c r="AK529" s="1364"/>
      <c r="AZ529" s="3"/>
      <c r="BA529" s="3"/>
      <c r="BB529" s="3"/>
      <c r="BC529" s="3"/>
      <c r="BD529" s="3"/>
      <c r="BE529" s="3"/>
      <c r="BF529" s="3"/>
      <c r="BG529" s="3"/>
      <c r="BH529" s="3"/>
      <c r="BI529" s="3"/>
      <c r="BJ529" s="3"/>
      <c r="BK529" s="3"/>
      <c r="BL529" s="3"/>
      <c r="BM529" s="3"/>
      <c r="BN529" s="3" t="s">
        <v>2542</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8"/>
      <c r="C530" s="1409"/>
      <c r="D530" s="1409"/>
      <c r="E530" s="1409"/>
      <c r="F530" s="1409"/>
      <c r="G530" s="1409"/>
      <c r="H530" s="1410"/>
      <c r="I530" s="42" t="s">
        <v>425</v>
      </c>
      <c r="J530" s="42"/>
      <c r="K530" s="42"/>
      <c r="L530" s="42"/>
      <c r="M530" s="42"/>
      <c r="N530" s="42"/>
      <c r="O530" s="1403" t="s">
        <v>336</v>
      </c>
      <c r="P530" s="1404"/>
      <c r="Q530" s="1404"/>
      <c r="R530" s="1404"/>
      <c r="S530" s="1404"/>
      <c r="T530" s="1404"/>
      <c r="U530" s="1404"/>
      <c r="V530" s="1404"/>
      <c r="W530" s="1404"/>
      <c r="X530" s="1404"/>
      <c r="Y530" s="1404"/>
      <c r="Z530" s="1404"/>
      <c r="AA530" s="1404"/>
      <c r="AC530" s="1379" t="s">
        <v>601</v>
      </c>
      <c r="AD530" s="1380"/>
      <c r="AE530" s="1380"/>
      <c r="AF530" s="1380"/>
      <c r="AG530" s="13" t="s">
        <v>405</v>
      </c>
      <c r="AH530" s="1363" t="s">
        <v>601</v>
      </c>
      <c r="AI530" s="1363"/>
      <c r="AJ530" s="1363"/>
      <c r="AK530" s="1364"/>
      <c r="AZ530" s="3"/>
      <c r="BA530" s="3"/>
      <c r="BB530" s="3"/>
      <c r="BC530" s="3"/>
      <c r="BD530" s="3"/>
      <c r="BE530" s="3"/>
      <c r="BF530" s="3"/>
      <c r="BG530" s="3"/>
      <c r="BH530" s="3"/>
      <c r="BI530" s="3"/>
      <c r="BJ530" s="3"/>
      <c r="BK530" s="3"/>
      <c r="BL530" s="3"/>
      <c r="BM530" s="3"/>
      <c r="BN530" s="3" t="s">
        <v>2543</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8"/>
      <c r="C531" s="1409"/>
      <c r="D531" s="1409"/>
      <c r="E531" s="1409"/>
      <c r="F531" s="1409"/>
      <c r="G531" s="1409"/>
      <c r="H531" s="1410"/>
      <c r="I531" t="s">
        <v>423</v>
      </c>
      <c r="AC531" s="1379" t="s">
        <v>601</v>
      </c>
      <c r="AD531" s="1380"/>
      <c r="AE531" s="1380"/>
      <c r="AF531" s="1380"/>
      <c r="AG531" s="38" t="s">
        <v>405</v>
      </c>
      <c r="AH531" s="1363" t="s">
        <v>601</v>
      </c>
      <c r="AI531" s="1363"/>
      <c r="AJ531" s="1363"/>
      <c r="AK531" s="1364"/>
      <c r="AZ531" s="3"/>
      <c r="BA531" s="3"/>
      <c r="BB531" s="3"/>
      <c r="BC531" s="3"/>
      <c r="BD531" s="3"/>
      <c r="BE531" s="3"/>
      <c r="BF531" s="3"/>
      <c r="BG531" s="3"/>
      <c r="BH531" s="3"/>
      <c r="BI531" s="3"/>
      <c r="BJ531" s="3"/>
      <c r="BK531" s="3"/>
      <c r="BL531" s="3"/>
      <c r="BM531" s="3"/>
      <c r="BN531" s="3" t="s">
        <v>2544</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8"/>
      <c r="C532" s="1409"/>
      <c r="D532" s="1409"/>
      <c r="E532" s="1409"/>
      <c r="F532" s="1409"/>
      <c r="G532" s="1409"/>
      <c r="H532" s="1410"/>
      <c r="I532" s="48" t="s">
        <v>424</v>
      </c>
      <c r="J532" s="48"/>
      <c r="K532" s="48"/>
      <c r="L532" s="48"/>
      <c r="M532" s="48"/>
      <c r="N532" s="48"/>
      <c r="O532" s="48"/>
      <c r="P532" s="48"/>
      <c r="Q532" s="48"/>
      <c r="R532" s="48"/>
      <c r="S532" s="48"/>
      <c r="T532" s="48"/>
      <c r="U532" s="48"/>
      <c r="V532" s="48"/>
      <c r="W532" s="48"/>
      <c r="X532" s="48"/>
      <c r="Y532" s="48"/>
      <c r="Z532" s="48"/>
      <c r="AA532" s="48"/>
      <c r="AB532" s="48"/>
      <c r="AC532" s="1379" t="s">
        <v>601</v>
      </c>
      <c r="AD532" s="1380"/>
      <c r="AE532" s="1380"/>
      <c r="AF532" s="1380"/>
      <c r="AG532" s="13" t="s">
        <v>405</v>
      </c>
      <c r="AH532" s="1363" t="s">
        <v>601</v>
      </c>
      <c r="AI532" s="1363"/>
      <c r="AJ532" s="1363"/>
      <c r="AK532" s="1364"/>
      <c r="AZ532" s="3"/>
      <c r="BA532" s="3"/>
      <c r="BB532" s="3"/>
      <c r="BC532" s="3"/>
      <c r="BD532" s="3"/>
      <c r="BE532" s="3"/>
      <c r="BF532" s="3"/>
      <c r="BG532" s="3"/>
      <c r="BH532" s="3"/>
      <c r="BI532" s="3"/>
      <c r="BJ532" s="3"/>
      <c r="BK532" s="3"/>
      <c r="BL532" s="3"/>
      <c r="BM532" s="3"/>
      <c r="BN532" s="3" t="s">
        <v>2545</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8"/>
      <c r="C533" s="1409"/>
      <c r="D533" s="1409"/>
      <c r="E533" s="1409"/>
      <c r="F533" s="1409"/>
      <c r="G533" s="1409"/>
      <c r="H533" s="1410"/>
      <c r="I533" s="42" t="s">
        <v>425</v>
      </c>
      <c r="J533" s="42"/>
      <c r="K533" s="42"/>
      <c r="L533" s="42"/>
      <c r="M533" s="42"/>
      <c r="N533" s="42"/>
      <c r="O533" s="1403" t="s">
        <v>336</v>
      </c>
      <c r="P533" s="1404"/>
      <c r="Q533" s="1404"/>
      <c r="R533" s="1404"/>
      <c r="S533" s="1404"/>
      <c r="T533" s="1404"/>
      <c r="U533" s="1404"/>
      <c r="V533" s="1404"/>
      <c r="W533" s="1404"/>
      <c r="X533" s="1404"/>
      <c r="Y533" s="1404"/>
      <c r="Z533" s="1404"/>
      <c r="AA533" s="1404"/>
      <c r="AC533" s="1379" t="s">
        <v>601</v>
      </c>
      <c r="AD533" s="1380"/>
      <c r="AE533" s="1380"/>
      <c r="AF533" s="1380"/>
      <c r="AG533" s="38" t="s">
        <v>405</v>
      </c>
      <c r="AH533" s="1363" t="s">
        <v>601</v>
      </c>
      <c r="AI533" s="1363"/>
      <c r="AJ533" s="1363"/>
      <c r="AK533" s="1364"/>
      <c r="AZ533" s="3"/>
      <c r="BA533" s="3"/>
      <c r="BB533" s="3"/>
      <c r="BC533" s="3"/>
      <c r="BD533" s="3"/>
      <c r="BE533" s="3"/>
      <c r="BF533" s="3"/>
      <c r="BG533" s="3"/>
      <c r="BH533" s="3"/>
      <c r="BI533" s="3"/>
      <c r="BJ533" s="3"/>
      <c r="BK533" s="3"/>
      <c r="BL533" s="3"/>
      <c r="BM533" s="3"/>
      <c r="BN533" s="3" t="s">
        <v>2546</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8"/>
      <c r="C534" s="1409"/>
      <c r="D534" s="1409"/>
      <c r="E534" s="1409"/>
      <c r="F534" s="1409"/>
      <c r="G534" s="1409"/>
      <c r="H534" s="1410"/>
      <c r="I534" t="s">
        <v>423</v>
      </c>
      <c r="AC534" s="1379" t="s">
        <v>601</v>
      </c>
      <c r="AD534" s="1380"/>
      <c r="AE534" s="1380"/>
      <c r="AF534" s="1380"/>
      <c r="AG534" s="13" t="s">
        <v>405</v>
      </c>
      <c r="AH534" s="1363" t="s">
        <v>601</v>
      </c>
      <c r="AI534" s="1363"/>
      <c r="AJ534" s="1363"/>
      <c r="AK534" s="1364"/>
      <c r="AZ534" s="3"/>
      <c r="BA534" s="3"/>
      <c r="BB534" s="3"/>
      <c r="BC534" s="3"/>
      <c r="BD534" s="3"/>
      <c r="BE534" s="3"/>
      <c r="BF534" s="3"/>
      <c r="BG534" s="3"/>
      <c r="BH534" s="3"/>
      <c r="BI534" s="3"/>
      <c r="BJ534" s="3"/>
      <c r="BK534" s="3"/>
      <c r="BL534" s="3"/>
      <c r="BM534" s="3"/>
      <c r="BN534" s="3" t="s">
        <v>2547</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8"/>
      <c r="C535" s="1409"/>
      <c r="D535" s="1409"/>
      <c r="E535" s="1409"/>
      <c r="F535" s="1409"/>
      <c r="G535" s="1409"/>
      <c r="H535" s="1410"/>
      <c r="I535" s="48" t="s">
        <v>424</v>
      </c>
      <c r="J535" s="48"/>
      <c r="K535" s="48"/>
      <c r="L535" s="48"/>
      <c r="M535" s="48"/>
      <c r="N535" s="48"/>
      <c r="O535" s="48"/>
      <c r="P535" s="48"/>
      <c r="Q535" s="48"/>
      <c r="R535" s="48"/>
      <c r="S535" s="48"/>
      <c r="T535" s="48"/>
      <c r="U535" s="48"/>
      <c r="V535" s="48"/>
      <c r="W535" s="48"/>
      <c r="X535" s="48"/>
      <c r="Y535" s="48"/>
      <c r="Z535" s="48"/>
      <c r="AA535" s="48"/>
      <c r="AB535" s="48"/>
      <c r="AC535" s="1379" t="s">
        <v>601</v>
      </c>
      <c r="AD535" s="1380"/>
      <c r="AE535" s="1380"/>
      <c r="AF535" s="1380"/>
      <c r="AG535" s="38" t="s">
        <v>405</v>
      </c>
      <c r="AH535" s="1363" t="s">
        <v>601</v>
      </c>
      <c r="AI535" s="1363"/>
      <c r="AJ535" s="1363"/>
      <c r="AK535" s="1364"/>
      <c r="AZ535" s="3"/>
      <c r="BA535" s="3"/>
      <c r="BB535" s="3"/>
      <c r="BC535" s="3"/>
      <c r="BD535" s="3"/>
      <c r="BE535" s="3"/>
      <c r="BF535" s="3"/>
      <c r="BG535" s="3"/>
      <c r="BH535" s="3"/>
      <c r="BI535" s="3"/>
      <c r="BJ535" s="3"/>
      <c r="BK535" s="3"/>
      <c r="BL535" s="3"/>
      <c r="BM535" s="3"/>
      <c r="BN535" s="3" t="s">
        <v>2548</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8"/>
      <c r="C536" s="1409"/>
      <c r="D536" s="1409"/>
      <c r="E536" s="1409"/>
      <c r="F536" s="1409"/>
      <c r="G536" s="1409"/>
      <c r="H536" s="1410"/>
      <c r="I536" s="42" t="s">
        <v>572</v>
      </c>
      <c r="J536" s="42"/>
      <c r="K536" s="42"/>
      <c r="L536" s="42"/>
      <c r="M536" s="42"/>
      <c r="N536" s="42"/>
      <c r="O536" s="42"/>
      <c r="P536" s="42"/>
      <c r="Q536" s="42"/>
      <c r="R536" s="42"/>
      <c r="S536" s="42"/>
      <c r="T536" s="42"/>
      <c r="U536" s="42"/>
      <c r="V536" s="42"/>
      <c r="W536" s="42"/>
      <c r="AC536" s="1379">
        <v>2</v>
      </c>
      <c r="AD536" s="1380"/>
      <c r="AE536" s="1380"/>
      <c r="AF536" s="1380"/>
      <c r="AG536" s="38" t="s">
        <v>405</v>
      </c>
      <c r="AH536" s="1363">
        <v>2024</v>
      </c>
      <c r="AI536" s="1363"/>
      <c r="AJ536" s="1363"/>
      <c r="AK536" s="1364"/>
      <c r="AZ536" s="3"/>
      <c r="BA536" s="3"/>
      <c r="BB536" s="3"/>
      <c r="BC536" s="3"/>
      <c r="BD536" s="3"/>
      <c r="BE536" s="3"/>
      <c r="BF536" s="3"/>
      <c r="BG536" s="3"/>
      <c r="BH536" s="3"/>
      <c r="BI536" s="3"/>
      <c r="BJ536" s="3"/>
      <c r="BK536" s="3"/>
      <c r="BL536" s="3"/>
      <c r="BM536" s="3"/>
      <c r="BN536" s="3" t="s">
        <v>2549</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8"/>
      <c r="C537" s="1409"/>
      <c r="D537" s="1409"/>
      <c r="E537" s="1409"/>
      <c r="F537" s="1409"/>
      <c r="G537" s="1409"/>
      <c r="H537" s="1410"/>
      <c r="I537" t="s">
        <v>573</v>
      </c>
      <c r="AC537" s="1379">
        <v>2</v>
      </c>
      <c r="AD537" s="1380"/>
      <c r="AE537" s="1380"/>
      <c r="AF537" s="1380"/>
      <c r="AG537" s="13" t="s">
        <v>405</v>
      </c>
      <c r="AH537" s="1363">
        <v>2024</v>
      </c>
      <c r="AI537" s="1363"/>
      <c r="AJ537" s="1363"/>
      <c r="AK537" s="136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8"/>
      <c r="C538" s="1409"/>
      <c r="D538" s="1409"/>
      <c r="E538" s="1409"/>
      <c r="F538" s="1409"/>
      <c r="G538" s="1409"/>
      <c r="H538" s="1410"/>
      <c r="I538" t="s">
        <v>574</v>
      </c>
      <c r="AC538" s="1379">
        <v>2</v>
      </c>
      <c r="AD538" s="1380"/>
      <c r="AE538" s="1380"/>
      <c r="AF538" s="1380"/>
      <c r="AG538" s="38" t="s">
        <v>405</v>
      </c>
      <c r="AH538" s="1363">
        <v>2026</v>
      </c>
      <c r="AI538" s="1363"/>
      <c r="AJ538" s="1363"/>
      <c r="AK538" s="136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8"/>
      <c r="C539" s="1409"/>
      <c r="D539" s="1409"/>
      <c r="E539" s="1409"/>
      <c r="F539" s="1409"/>
      <c r="G539" s="1409"/>
      <c r="H539" s="1410"/>
      <c r="I539" t="s">
        <v>575</v>
      </c>
      <c r="AC539" s="1379">
        <v>2</v>
      </c>
      <c r="AD539" s="1380"/>
      <c r="AE539" s="1380"/>
      <c r="AF539" s="1380"/>
      <c r="AG539" s="38" t="s">
        <v>405</v>
      </c>
      <c r="AH539" s="1363">
        <v>2026</v>
      </c>
      <c r="AI539" s="1363"/>
      <c r="AJ539" s="1363"/>
      <c r="AK539" s="136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1"/>
      <c r="C540" s="1412"/>
      <c r="D540" s="1412"/>
      <c r="E540" s="1412"/>
      <c r="F540" s="1412"/>
      <c r="G540" s="1412"/>
      <c r="H540" s="1413"/>
      <c r="I540" s="48" t="s">
        <v>461</v>
      </c>
      <c r="J540" s="48"/>
      <c r="K540" s="48"/>
      <c r="L540" s="48"/>
      <c r="M540" s="48"/>
      <c r="N540" s="48"/>
      <c r="O540" s="48"/>
      <c r="P540" s="48"/>
      <c r="Q540" s="48"/>
      <c r="R540" s="48"/>
      <c r="S540" s="48"/>
      <c r="T540" s="48"/>
      <c r="U540" s="48"/>
      <c r="V540" s="48"/>
      <c r="W540" s="48"/>
      <c r="X540" s="48"/>
      <c r="Y540" s="48"/>
      <c r="Z540" s="48"/>
      <c r="AA540" s="48"/>
      <c r="AB540" s="48"/>
      <c r="AC540" s="1379">
        <v>5</v>
      </c>
      <c r="AD540" s="1380"/>
      <c r="AE540" s="1380"/>
      <c r="AF540" s="1380"/>
      <c r="AG540" s="38" t="s">
        <v>405</v>
      </c>
      <c r="AH540" s="1363">
        <v>2026</v>
      </c>
      <c r="AI540" s="1363"/>
      <c r="AJ540" s="1363"/>
      <c r="AK540" s="136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2" t="s">
        <v>553</v>
      </c>
      <c r="B542" s="1272"/>
      <c r="C542" s="1272"/>
      <c r="D542" s="1272"/>
      <c r="E542" s="1272"/>
      <c r="F542" s="1272"/>
      <c r="G542" s="1272"/>
      <c r="H542" s="1272"/>
      <c r="I542" s="1272"/>
      <c r="J542" s="1272"/>
      <c r="K542" s="1272"/>
      <c r="L542" s="1272"/>
      <c r="M542" s="1272"/>
      <c r="N542" s="1272"/>
      <c r="O542" s="1272"/>
      <c r="P542" s="1272"/>
      <c r="Q542" s="1272"/>
      <c r="R542" s="1272"/>
      <c r="S542" s="1272"/>
      <c r="T542" s="1272"/>
      <c r="U542" s="1272"/>
      <c r="V542" s="1272"/>
      <c r="W542" s="1272"/>
      <c r="X542" s="1272"/>
      <c r="Y542" s="1272"/>
      <c r="Z542" s="1272"/>
      <c r="AA542" s="1272"/>
      <c r="AB542" s="1272"/>
      <c r="AC542" s="1272"/>
      <c r="AD542" s="1272"/>
      <c r="AE542" s="1272"/>
      <c r="AF542" s="1272"/>
      <c r="AG542" s="1272"/>
      <c r="AH542" s="1272"/>
      <c r="AI542" s="1272"/>
      <c r="AJ542" s="1272"/>
      <c r="AK542" s="1272"/>
      <c r="AL542" s="1272"/>
      <c r="AM542" s="1272"/>
      <c r="AN542" s="1272"/>
      <c r="AO542" s="1272"/>
      <c r="AP542" s="1272"/>
      <c r="AQ542" s="1272"/>
      <c r="AR542" s="1272"/>
      <c r="AS542" s="1272"/>
      <c r="AT542" s="933"/>
      <c r="AU542" s="933"/>
      <c r="AV542" s="933"/>
      <c r="AW542" s="933"/>
      <c r="AX542" s="933"/>
      <c r="AY542" s="933"/>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72"/>
      <c r="X543" s="1272"/>
      <c r="Y543" s="1272"/>
      <c r="Z543" s="1272"/>
      <c r="AA543" s="1272"/>
      <c r="AB543" s="1272"/>
      <c r="AC543" s="1272"/>
      <c r="AD543" s="1272"/>
      <c r="AE543" s="1272"/>
      <c r="AF543" s="1272"/>
      <c r="AG543" s="1272"/>
      <c r="AH543" s="1272"/>
      <c r="AI543" s="1272"/>
      <c r="AJ543" s="1272"/>
      <c r="AK543" s="1272"/>
      <c r="AL543" s="1272"/>
      <c r="AM543" s="1272"/>
      <c r="AN543" s="1272"/>
      <c r="AO543" s="1272"/>
      <c r="AP543" s="1272"/>
      <c r="AQ543" s="1272"/>
      <c r="AR543" s="1272"/>
      <c r="AS543" s="1272"/>
      <c r="AT543" s="933"/>
      <c r="AU543" s="933"/>
      <c r="AV543" s="933"/>
      <c r="AW543" s="933"/>
      <c r="AX543" s="933"/>
      <c r="AY543" s="93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2521</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51" t="s">
        <v>2523</v>
      </c>
      <c r="C549" s="1352"/>
      <c r="D549" s="1352"/>
      <c r="E549" s="1352"/>
      <c r="F549" s="1352"/>
      <c r="G549" s="1352"/>
      <c r="H549" s="1352"/>
      <c r="I549" s="1352"/>
      <c r="J549" s="1352"/>
      <c r="K549" s="1352"/>
      <c r="L549" s="1353"/>
      <c r="M549" s="1519" t="s">
        <v>2524</v>
      </c>
      <c r="N549" s="1519"/>
      <c r="O549" s="1519"/>
      <c r="P549" s="1519"/>
      <c r="Q549" s="1351" t="s">
        <v>2550</v>
      </c>
      <c r="R549" s="1352"/>
      <c r="S549" s="1353"/>
      <c r="T549" s="1351" t="s">
        <v>2551</v>
      </c>
      <c r="U549" s="1352"/>
      <c r="V549" s="1353"/>
      <c r="W549" s="1351" t="s">
        <v>463</v>
      </c>
      <c r="X549" s="1352"/>
      <c r="Y549" s="1353"/>
      <c r="Z549" s="1351" t="s">
        <v>2116</v>
      </c>
      <c r="AA549" s="1352"/>
      <c r="AB549" s="1352"/>
      <c r="AC549" s="1352"/>
      <c r="AD549" s="1352"/>
      <c r="AE549" s="1351" t="s">
        <v>1937</v>
      </c>
      <c r="AF549" s="1352"/>
      <c r="AG549" s="1352"/>
      <c r="AH549" s="1353"/>
      <c r="AI549" s="1351" t="s">
        <v>1938</v>
      </c>
      <c r="AJ549" s="1352"/>
      <c r="AK549" s="1352"/>
      <c r="AL549" s="1353"/>
      <c r="AM549" s="1351" t="s">
        <v>464</v>
      </c>
      <c r="AN549" s="1352"/>
      <c r="AO549" s="1352"/>
      <c r="AP549" s="1352"/>
      <c r="AQ549" s="1352"/>
      <c r="AR549" s="1352"/>
      <c r="AS549" s="1353"/>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20" t="s">
        <v>2721</v>
      </c>
      <c r="D550" s="1520"/>
      <c r="E550" s="1520"/>
      <c r="F550" s="1520"/>
      <c r="G550" s="1520"/>
      <c r="H550" s="1520"/>
      <c r="I550" s="1520"/>
      <c r="J550" s="1520"/>
      <c r="K550" s="1520"/>
      <c r="L550" s="1520"/>
      <c r="M550" s="1520" t="s">
        <v>2541</v>
      </c>
      <c r="N550" s="1520"/>
      <c r="O550" s="1520"/>
      <c r="P550" s="1520"/>
      <c r="Q550" s="1430">
        <v>30</v>
      </c>
      <c r="R550" s="1430"/>
      <c r="S550" s="1431"/>
      <c r="T550" s="1429"/>
      <c r="U550" s="1430"/>
      <c r="V550" s="1431"/>
      <c r="W550" s="1443">
        <v>7.0599999999999996E-2</v>
      </c>
      <c r="X550" s="1444"/>
      <c r="Y550" s="1445"/>
      <c r="Z550" s="1432" t="s">
        <v>2722</v>
      </c>
      <c r="AA550" s="1432"/>
      <c r="AB550" s="1432"/>
      <c r="AC550" s="1432"/>
      <c r="AD550" s="1432"/>
      <c r="AE550" s="1423">
        <v>1</v>
      </c>
      <c r="AF550" s="1424"/>
      <c r="AG550" s="1424"/>
      <c r="AH550" s="1425"/>
      <c r="AI550" s="1453"/>
      <c r="AJ550" s="1454"/>
      <c r="AK550" s="1454"/>
      <c r="AL550" s="1455"/>
      <c r="AM550" s="1354">
        <v>35000000</v>
      </c>
      <c r="AN550" s="1355"/>
      <c r="AO550" s="1355"/>
      <c r="AP550" s="1355"/>
      <c r="AQ550" s="1355"/>
      <c r="AR550" s="1355"/>
      <c r="AS550" s="1356"/>
      <c r="AT550" s="1198"/>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521" t="s">
        <v>2723</v>
      </c>
      <c r="D551" s="1521"/>
      <c r="E551" s="1521"/>
      <c r="F551" s="1521"/>
      <c r="G551" s="1521"/>
      <c r="H551" s="1521"/>
      <c r="I551" s="1521"/>
      <c r="J551" s="1521"/>
      <c r="K551" s="1521"/>
      <c r="L551" s="1521"/>
      <c r="M551" s="1520" t="s">
        <v>2541</v>
      </c>
      <c r="N551" s="1520"/>
      <c r="O551" s="1520"/>
      <c r="P551" s="1520"/>
      <c r="Q551" s="1429">
        <v>30</v>
      </c>
      <c r="R551" s="1430"/>
      <c r="S551" s="1431"/>
      <c r="T551" s="1429"/>
      <c r="U551" s="1430"/>
      <c r="V551" s="1431"/>
      <c r="W551" s="1443">
        <v>7.0599999999999996E-2</v>
      </c>
      <c r="X551" s="1444"/>
      <c r="Y551" s="1445"/>
      <c r="Z551" s="1432" t="s">
        <v>2722</v>
      </c>
      <c r="AA551" s="1432"/>
      <c r="AB551" s="1432"/>
      <c r="AC551" s="1432"/>
      <c r="AD551" s="1432"/>
      <c r="AE551" s="1423">
        <v>1</v>
      </c>
      <c r="AF551" s="1424"/>
      <c r="AG551" s="1424"/>
      <c r="AH551" s="1425"/>
      <c r="AI551" s="1453"/>
      <c r="AJ551" s="1454"/>
      <c r="AK551" s="1454"/>
      <c r="AL551" s="1455"/>
      <c r="AM551" s="1354">
        <v>5900000</v>
      </c>
      <c r="AN551" s="1355"/>
      <c r="AO551" s="1355"/>
      <c r="AP551" s="1355"/>
      <c r="AQ551" s="1355"/>
      <c r="AR551" s="1355"/>
      <c r="AS551" s="1356"/>
      <c r="AT551" s="1198" t="str">
        <f>IF(AND(NOT(C550=""),C551="",NOT(C552="")),"!","")</f>
        <v/>
      </c>
      <c r="AU551" s="1197"/>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521" t="s">
        <v>2724</v>
      </c>
      <c r="D552" s="1521"/>
      <c r="E552" s="1521"/>
      <c r="F552" s="1521"/>
      <c r="G552" s="1521"/>
      <c r="H552" s="1521"/>
      <c r="I552" s="1521"/>
      <c r="J552" s="1521"/>
      <c r="K552" s="1521"/>
      <c r="L552" s="1521"/>
      <c r="M552" s="1520" t="s">
        <v>2531</v>
      </c>
      <c r="N552" s="1520"/>
      <c r="O552" s="1520"/>
      <c r="P552" s="1520"/>
      <c r="Q552" s="1429"/>
      <c r="R552" s="1430"/>
      <c r="S552" s="1431"/>
      <c r="T552" s="1429"/>
      <c r="U552" s="1430"/>
      <c r="V552" s="1431"/>
      <c r="W552" s="1443"/>
      <c r="X552" s="1444"/>
      <c r="Y552" s="1445"/>
      <c r="Z552" s="1432" t="s">
        <v>601</v>
      </c>
      <c r="AA552" s="1432"/>
      <c r="AB552" s="1432"/>
      <c r="AC552" s="1432"/>
      <c r="AD552" s="1432"/>
      <c r="AE552" s="1423"/>
      <c r="AF552" s="1424"/>
      <c r="AG552" s="1424"/>
      <c r="AH552" s="1425"/>
      <c r="AI552" s="1453"/>
      <c r="AJ552" s="1454"/>
      <c r="AK552" s="1454"/>
      <c r="AL552" s="1455"/>
      <c r="AM552" s="1354">
        <v>14725000</v>
      </c>
      <c r="AN552" s="1355"/>
      <c r="AO552" s="1355"/>
      <c r="AP552" s="1355"/>
      <c r="AQ552" s="1355"/>
      <c r="AR552" s="1355"/>
      <c r="AS552" s="1356"/>
      <c r="AT552" s="1198" t="str">
        <f>IF(AND(NOT(C551=""),C552="",NOT(C553="")),"!","")</f>
        <v/>
      </c>
      <c r="AU552" s="1197"/>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521" t="s">
        <v>2725</v>
      </c>
      <c r="D553" s="1521"/>
      <c r="E553" s="1521"/>
      <c r="F553" s="1521"/>
      <c r="G553" s="1521"/>
      <c r="H553" s="1521"/>
      <c r="I553" s="1521"/>
      <c r="J553" s="1521"/>
      <c r="K553" s="1521"/>
      <c r="L553" s="1521"/>
      <c r="M553" s="1520" t="s">
        <v>2535</v>
      </c>
      <c r="N553" s="1520"/>
      <c r="O553" s="1520"/>
      <c r="P553" s="1520"/>
      <c r="Q553" s="1429">
        <v>30</v>
      </c>
      <c r="R553" s="1430"/>
      <c r="S553" s="1431"/>
      <c r="T553" s="1429"/>
      <c r="U553" s="1430"/>
      <c r="V553" s="1431"/>
      <c r="W553" s="1443">
        <v>7.0599999999999996E-2</v>
      </c>
      <c r="X553" s="1444"/>
      <c r="Y553" s="1445"/>
      <c r="Z553" s="1432" t="s">
        <v>2722</v>
      </c>
      <c r="AA553" s="1432"/>
      <c r="AB553" s="1432"/>
      <c r="AC553" s="1432"/>
      <c r="AD553" s="1432"/>
      <c r="AE553" s="1423">
        <v>2</v>
      </c>
      <c r="AF553" s="1424"/>
      <c r="AG553" s="1424"/>
      <c r="AH553" s="1425"/>
      <c r="AI553" s="1453"/>
      <c r="AJ553" s="1454"/>
      <c r="AK553" s="1454"/>
      <c r="AL553" s="1455"/>
      <c r="AM553" s="1354">
        <f>28000000+23200000-AM551-AM550</f>
        <v>10300000</v>
      </c>
      <c r="AN553" s="1355"/>
      <c r="AO553" s="1355"/>
      <c r="AP553" s="1355"/>
      <c r="AQ553" s="1355"/>
      <c r="AR553" s="1355"/>
      <c r="AS553" s="1356"/>
      <c r="AT553" s="1198" t="str">
        <f>IF(AND(NOT(C552=""),C553="",NOT(C554="")),"!","")</f>
        <v/>
      </c>
      <c r="AU553" s="1197"/>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521" t="s">
        <v>2726</v>
      </c>
      <c r="D554" s="1521"/>
      <c r="E554" s="1521"/>
      <c r="F554" s="1521"/>
      <c r="G554" s="1521"/>
      <c r="H554" s="1521"/>
      <c r="I554" s="1521"/>
      <c r="J554" s="1521"/>
      <c r="K554" s="1521"/>
      <c r="L554" s="1521"/>
      <c r="M554" s="1520" t="s">
        <v>2526</v>
      </c>
      <c r="N554" s="1520"/>
      <c r="O554" s="1520"/>
      <c r="P554" s="1520"/>
      <c r="Q554" s="1429"/>
      <c r="R554" s="1430"/>
      <c r="S554" s="1431"/>
      <c r="T554" s="1429"/>
      <c r="U554" s="1430"/>
      <c r="V554" s="1431"/>
      <c r="W554" s="1443"/>
      <c r="X554" s="1444"/>
      <c r="Y554" s="1445"/>
      <c r="Z554" s="1432" t="s">
        <v>601</v>
      </c>
      <c r="AA554" s="1432"/>
      <c r="AB554" s="1432"/>
      <c r="AC554" s="1432"/>
      <c r="AD554" s="1432"/>
      <c r="AE554" s="1423"/>
      <c r="AF554" s="1424"/>
      <c r="AG554" s="1424"/>
      <c r="AH554" s="1425"/>
      <c r="AI554" s="1453"/>
      <c r="AJ554" s="1454"/>
      <c r="AK554" s="1454"/>
      <c r="AL554" s="1455"/>
      <c r="AM554" s="1354">
        <f>'[5]Sources and Uses Budget'!B105-[5]Application!AM553-[5]Application!AM552-[5]Application!AM551-[5]Application!AM550</f>
        <v>6484545</v>
      </c>
      <c r="AN554" s="1355"/>
      <c r="AO554" s="1355"/>
      <c r="AP554" s="1355"/>
      <c r="AQ554" s="1355"/>
      <c r="AR554" s="1355"/>
      <c r="AS554" s="1356"/>
      <c r="AT554" s="1198" t="str">
        <f t="shared" ref="AT554:AT561" si="0">IF(AND(NOT(C553=""),C554="",NOT(C555="")),"!","")</f>
        <v/>
      </c>
      <c r="AU554" s="1197"/>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521"/>
      <c r="D555" s="1521"/>
      <c r="E555" s="1521"/>
      <c r="F555" s="1521"/>
      <c r="G555" s="1521"/>
      <c r="H555" s="1521"/>
      <c r="I555" s="1521"/>
      <c r="J555" s="1521"/>
      <c r="K555" s="1521"/>
      <c r="L555" s="1521"/>
      <c r="M555" s="1520" t="s">
        <v>1328</v>
      </c>
      <c r="N555" s="1520"/>
      <c r="O555" s="1520"/>
      <c r="P555" s="1520"/>
      <c r="Q555" s="1429"/>
      <c r="R555" s="1430"/>
      <c r="S555" s="1431"/>
      <c r="T555" s="1429"/>
      <c r="U555" s="1430"/>
      <c r="V555" s="1431"/>
      <c r="W555" s="1443"/>
      <c r="X555" s="1444"/>
      <c r="Y555" s="1445"/>
      <c r="Z555" s="1432" t="s">
        <v>1328</v>
      </c>
      <c r="AA555" s="1432"/>
      <c r="AB555" s="1432"/>
      <c r="AC555" s="1432"/>
      <c r="AD555" s="1432"/>
      <c r="AE555" s="1423"/>
      <c r="AF555" s="1424"/>
      <c r="AG555" s="1424"/>
      <c r="AH555" s="1425"/>
      <c r="AI555" s="1453"/>
      <c r="AJ555" s="1454"/>
      <c r="AK555" s="1454"/>
      <c r="AL555" s="1455"/>
      <c r="AM555" s="1354"/>
      <c r="AN555" s="1355"/>
      <c r="AO555" s="1355"/>
      <c r="AP555" s="1355"/>
      <c r="AQ555" s="1355"/>
      <c r="AR555" s="1355"/>
      <c r="AS555" s="1356"/>
      <c r="AT555" s="1198" t="str">
        <f t="shared" si="0"/>
        <v/>
      </c>
      <c r="AU555" s="1197"/>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521"/>
      <c r="D556" s="1521"/>
      <c r="E556" s="1521"/>
      <c r="F556" s="1521"/>
      <c r="G556" s="1521"/>
      <c r="H556" s="1521"/>
      <c r="I556" s="1521"/>
      <c r="J556" s="1521"/>
      <c r="K556" s="1521"/>
      <c r="L556" s="1521"/>
      <c r="M556" s="1520" t="s">
        <v>1328</v>
      </c>
      <c r="N556" s="1520"/>
      <c r="O556" s="1520"/>
      <c r="P556" s="1520"/>
      <c r="Q556" s="1429"/>
      <c r="R556" s="1430"/>
      <c r="S556" s="1431"/>
      <c r="T556" s="1429"/>
      <c r="U556" s="1430"/>
      <c r="V556" s="1431"/>
      <c r="W556" s="1443"/>
      <c r="X556" s="1444"/>
      <c r="Y556" s="1445"/>
      <c r="Z556" s="1432" t="s">
        <v>1328</v>
      </c>
      <c r="AA556" s="1432"/>
      <c r="AB556" s="1432"/>
      <c r="AC556" s="1432"/>
      <c r="AD556" s="1432"/>
      <c r="AE556" s="1423"/>
      <c r="AF556" s="1424"/>
      <c r="AG556" s="1424"/>
      <c r="AH556" s="1425"/>
      <c r="AI556" s="1453"/>
      <c r="AJ556" s="1454"/>
      <c r="AK556" s="1454"/>
      <c r="AL556" s="1455"/>
      <c r="AM556" s="1354"/>
      <c r="AN556" s="1355"/>
      <c r="AO556" s="1355"/>
      <c r="AP556" s="1355"/>
      <c r="AQ556" s="1355"/>
      <c r="AR556" s="1355"/>
      <c r="AS556" s="1356"/>
      <c r="AT556" s="1198" t="str">
        <f t="shared" si="0"/>
        <v/>
      </c>
      <c r="AU556" s="1197"/>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521"/>
      <c r="D557" s="1521"/>
      <c r="E557" s="1521"/>
      <c r="F557" s="1521"/>
      <c r="G557" s="1521"/>
      <c r="H557" s="1521"/>
      <c r="I557" s="1521"/>
      <c r="J557" s="1521"/>
      <c r="K557" s="1521"/>
      <c r="L557" s="1521"/>
      <c r="M557" s="1520" t="s">
        <v>1328</v>
      </c>
      <c r="N557" s="1520"/>
      <c r="O557" s="1520"/>
      <c r="P557" s="1520"/>
      <c r="Q557" s="1429"/>
      <c r="R557" s="1430"/>
      <c r="S557" s="1431"/>
      <c r="T557" s="1429"/>
      <c r="U557" s="1430"/>
      <c r="V557" s="1431"/>
      <c r="W557" s="1443"/>
      <c r="X557" s="1444"/>
      <c r="Y557" s="1445"/>
      <c r="Z557" s="1432" t="s">
        <v>1328</v>
      </c>
      <c r="AA557" s="1432"/>
      <c r="AB557" s="1432"/>
      <c r="AC557" s="1432"/>
      <c r="AD557" s="1432"/>
      <c r="AE557" s="1423"/>
      <c r="AF557" s="1424"/>
      <c r="AG557" s="1424"/>
      <c r="AH557" s="1425"/>
      <c r="AI557" s="1453"/>
      <c r="AJ557" s="1454"/>
      <c r="AK557" s="1454"/>
      <c r="AL557" s="1455"/>
      <c r="AM557" s="1354"/>
      <c r="AN557" s="1355"/>
      <c r="AO557" s="1355"/>
      <c r="AP557" s="1355"/>
      <c r="AQ557" s="1355"/>
      <c r="AR557" s="1355"/>
      <c r="AS557" s="1356"/>
      <c r="AT557" s="1198" t="str">
        <f t="shared" si="0"/>
        <v/>
      </c>
      <c r="AU557" s="1197"/>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521"/>
      <c r="D558" s="1521"/>
      <c r="E558" s="1521"/>
      <c r="F558" s="1521"/>
      <c r="G558" s="1521"/>
      <c r="H558" s="1521"/>
      <c r="I558" s="1521"/>
      <c r="J558" s="1521"/>
      <c r="K558" s="1521"/>
      <c r="L558" s="1521"/>
      <c r="M558" s="1520" t="s">
        <v>1328</v>
      </c>
      <c r="N558" s="1520"/>
      <c r="O558" s="1520"/>
      <c r="P558" s="1520"/>
      <c r="Q558" s="1429"/>
      <c r="R558" s="1430"/>
      <c r="S558" s="1431"/>
      <c r="T558" s="1429"/>
      <c r="U558" s="1430"/>
      <c r="V558" s="1431"/>
      <c r="W558" s="1443"/>
      <c r="X558" s="1444"/>
      <c r="Y558" s="1445"/>
      <c r="Z558" s="1432" t="s">
        <v>1328</v>
      </c>
      <c r="AA558" s="1432"/>
      <c r="AB558" s="1432"/>
      <c r="AC558" s="1432"/>
      <c r="AD558" s="1432"/>
      <c r="AE558" s="1423"/>
      <c r="AF558" s="1424"/>
      <c r="AG558" s="1424"/>
      <c r="AH558" s="1425"/>
      <c r="AI558" s="1453"/>
      <c r="AJ558" s="1454"/>
      <c r="AK558" s="1454"/>
      <c r="AL558" s="1455"/>
      <c r="AM558" s="1354"/>
      <c r="AN558" s="1355"/>
      <c r="AO558" s="1355"/>
      <c r="AP558" s="1355"/>
      <c r="AQ558" s="1355"/>
      <c r="AR558" s="1355"/>
      <c r="AS558" s="1356"/>
      <c r="AT558" s="1198" t="str">
        <f t="shared" si="0"/>
        <v/>
      </c>
      <c r="AU558" s="1197"/>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521"/>
      <c r="D559" s="1521"/>
      <c r="E559" s="1521"/>
      <c r="F559" s="1521"/>
      <c r="G559" s="1521"/>
      <c r="H559" s="1521"/>
      <c r="I559" s="1521"/>
      <c r="J559" s="1521"/>
      <c r="K559" s="1521"/>
      <c r="L559" s="1521"/>
      <c r="M559" s="1520" t="s">
        <v>1328</v>
      </c>
      <c r="N559" s="1520"/>
      <c r="O559" s="1520"/>
      <c r="P559" s="1520"/>
      <c r="Q559" s="1429"/>
      <c r="R559" s="1430"/>
      <c r="S559" s="1431"/>
      <c r="T559" s="1429"/>
      <c r="U559" s="1430"/>
      <c r="V559" s="1431"/>
      <c r="W559" s="1443"/>
      <c r="X559" s="1444"/>
      <c r="Y559" s="1445"/>
      <c r="Z559" s="1432" t="s">
        <v>1328</v>
      </c>
      <c r="AA559" s="1432"/>
      <c r="AB559" s="1432"/>
      <c r="AC559" s="1432"/>
      <c r="AD559" s="1432"/>
      <c r="AE559" s="1423"/>
      <c r="AF559" s="1424"/>
      <c r="AG559" s="1424"/>
      <c r="AH559" s="1425"/>
      <c r="AI559" s="1453"/>
      <c r="AJ559" s="1454"/>
      <c r="AK559" s="1454"/>
      <c r="AL559" s="1455"/>
      <c r="AM559" s="1354"/>
      <c r="AN559" s="1355"/>
      <c r="AO559" s="1355"/>
      <c r="AP559" s="1355"/>
      <c r="AQ559" s="1355"/>
      <c r="AR559" s="1355"/>
      <c r="AS559" s="1356"/>
      <c r="AT559" s="1198" t="str">
        <f t="shared" si="0"/>
        <v/>
      </c>
      <c r="AU559" s="1197"/>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521"/>
      <c r="D560" s="1521"/>
      <c r="E560" s="1521"/>
      <c r="F560" s="1521"/>
      <c r="G560" s="1521"/>
      <c r="H560" s="1521"/>
      <c r="I560" s="1521"/>
      <c r="J560" s="1521"/>
      <c r="K560" s="1521"/>
      <c r="L560" s="1521"/>
      <c r="M560" s="1520" t="s">
        <v>1328</v>
      </c>
      <c r="N560" s="1520"/>
      <c r="O560" s="1520"/>
      <c r="P560" s="1520"/>
      <c r="Q560" s="1429"/>
      <c r="R560" s="1430"/>
      <c r="S560" s="1431"/>
      <c r="T560" s="1429"/>
      <c r="U560" s="1430"/>
      <c r="V560" s="1431"/>
      <c r="W560" s="1443"/>
      <c r="X560" s="1444"/>
      <c r="Y560" s="1445"/>
      <c r="Z560" s="1432" t="s">
        <v>1328</v>
      </c>
      <c r="AA560" s="1432"/>
      <c r="AB560" s="1432"/>
      <c r="AC560" s="1432"/>
      <c r="AD560" s="1432"/>
      <c r="AE560" s="1423"/>
      <c r="AF560" s="1424"/>
      <c r="AG560" s="1424"/>
      <c r="AH560" s="1425"/>
      <c r="AI560" s="1453"/>
      <c r="AJ560" s="1454"/>
      <c r="AK560" s="1454"/>
      <c r="AL560" s="1455"/>
      <c r="AM560" s="1354"/>
      <c r="AN560" s="1355"/>
      <c r="AO560" s="1355"/>
      <c r="AP560" s="1355"/>
      <c r="AQ560" s="1355"/>
      <c r="AR560" s="1355"/>
      <c r="AS560" s="1356"/>
      <c r="AT560" s="1198" t="str">
        <f t="shared" si="0"/>
        <v/>
      </c>
      <c r="AU560" s="1197"/>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521"/>
      <c r="D561" s="1521"/>
      <c r="E561" s="1521"/>
      <c r="F561" s="1521"/>
      <c r="G561" s="1521"/>
      <c r="H561" s="1521"/>
      <c r="I561" s="1521"/>
      <c r="J561" s="1521"/>
      <c r="K561" s="1521"/>
      <c r="L561" s="1521"/>
      <c r="M561" s="1520" t="s">
        <v>1328</v>
      </c>
      <c r="N561" s="1520"/>
      <c r="O561" s="1520"/>
      <c r="P561" s="1520"/>
      <c r="Q561" s="1429"/>
      <c r="R561" s="1430"/>
      <c r="S561" s="1431"/>
      <c r="T561" s="1429"/>
      <c r="U561" s="1430"/>
      <c r="V561" s="1431"/>
      <c r="W561" s="1443"/>
      <c r="X561" s="1444"/>
      <c r="Y561" s="1445"/>
      <c r="Z561" s="1432" t="s">
        <v>1328</v>
      </c>
      <c r="AA561" s="1432"/>
      <c r="AB561" s="1432"/>
      <c r="AC561" s="1432"/>
      <c r="AD561" s="1432"/>
      <c r="AE561" s="1423"/>
      <c r="AF561" s="1424"/>
      <c r="AG561" s="1424"/>
      <c r="AH561" s="1425"/>
      <c r="AI561" s="1453"/>
      <c r="AJ561" s="1454"/>
      <c r="AK561" s="1454"/>
      <c r="AL561" s="1455"/>
      <c r="AM561" s="1354"/>
      <c r="AN561" s="1355"/>
      <c r="AO561" s="1355"/>
      <c r="AP561" s="1355"/>
      <c r="AQ561" s="1355"/>
      <c r="AR561" s="1355"/>
      <c r="AS561" s="1356"/>
      <c r="AT561" s="1198" t="str">
        <f t="shared" si="0"/>
        <v/>
      </c>
      <c r="AU561" s="1197"/>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5" t="s">
        <v>128</v>
      </c>
      <c r="C562" s="1526"/>
      <c r="D562" s="1526"/>
      <c r="E562" s="1526"/>
      <c r="F562" s="1526"/>
      <c r="G562" s="1526"/>
      <c r="H562" s="1526"/>
      <c r="I562" s="1526"/>
      <c r="J562" s="1526"/>
      <c r="K562" s="1526"/>
      <c r="L562" s="1526"/>
      <c r="M562" s="1526"/>
      <c r="N562" s="1526"/>
      <c r="O562" s="1526"/>
      <c r="P562" s="1526"/>
      <c r="Q562" s="1526"/>
      <c r="R562" s="1526"/>
      <c r="S562" s="1526"/>
      <c r="T562" s="1526"/>
      <c r="U562" s="1527"/>
      <c r="V562" s="1526"/>
      <c r="W562" s="1526"/>
      <c r="X562" s="1526"/>
      <c r="Y562" s="1526"/>
      <c r="Z562" s="1526"/>
      <c r="AA562" s="1526"/>
      <c r="AB562" s="1526"/>
      <c r="AC562" s="1526"/>
      <c r="AD562" s="1526"/>
      <c r="AE562" s="1526"/>
      <c r="AF562" s="1526"/>
      <c r="AG562" s="1526"/>
      <c r="AH562" s="1526"/>
      <c r="AI562" s="1526"/>
      <c r="AJ562" s="1526"/>
      <c r="AK562" s="1526"/>
      <c r="AL562" s="1528"/>
      <c r="AM562" s="1522">
        <f>SUM(AM550:AS561)</f>
        <v>72409545</v>
      </c>
      <c r="AN562" s="1523"/>
      <c r="AO562" s="1523"/>
      <c r="AP562" s="1523"/>
      <c r="AQ562" s="1523"/>
      <c r="AR562" s="1523"/>
      <c r="AS562" s="152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8" t="str">
        <f>C550</f>
        <v>Tax-Exempt Bonds</v>
      </c>
      <c r="H564" s="1518"/>
      <c r="I564" s="1518"/>
      <c r="J564" s="1518"/>
      <c r="K564" s="1518"/>
      <c r="L564" s="1518"/>
      <c r="M564" s="1518"/>
      <c r="N564" s="1518"/>
      <c r="O564" s="1518"/>
      <c r="P564" s="1518"/>
      <c r="Q564" s="1518"/>
      <c r="R564" s="1518"/>
      <c r="S564" s="8"/>
      <c r="T564" s="55" t="s">
        <v>114</v>
      </c>
      <c r="U564" t="s">
        <v>473</v>
      </c>
      <c r="Z564" s="1518" t="str">
        <f>C551</f>
        <v>Recycled Bonds</v>
      </c>
      <c r="AA564" s="1518"/>
      <c r="AB564" s="1518"/>
      <c r="AC564" s="1518"/>
      <c r="AD564" s="1518"/>
      <c r="AE564" s="1518"/>
      <c r="AF564" s="1518"/>
      <c r="AG564" s="1518"/>
      <c r="AH564" s="1518"/>
      <c r="AI564" s="1518"/>
      <c r="AJ564" s="1518"/>
      <c r="AK564" s="1518"/>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1" t="s">
        <v>2727</v>
      </c>
      <c r="H565" s="1391"/>
      <c r="I565" s="1391"/>
      <c r="J565" s="1391"/>
      <c r="K565" s="1391"/>
      <c r="L565" s="1391"/>
      <c r="M565" s="1391"/>
      <c r="N565" s="1391"/>
      <c r="O565" s="1391"/>
      <c r="P565" s="1391"/>
      <c r="Q565" s="1391"/>
      <c r="R565" s="1391"/>
      <c r="S565" s="8"/>
      <c r="T565" s="22"/>
      <c r="U565" t="s">
        <v>86</v>
      </c>
      <c r="Z565" s="1391" t="s">
        <v>2727</v>
      </c>
      <c r="AA565" s="1391"/>
      <c r="AB565" s="1391"/>
      <c r="AC565" s="1391"/>
      <c r="AD565" s="1391"/>
      <c r="AE565" s="1391"/>
      <c r="AF565" s="1391"/>
      <c r="AG565" s="1391"/>
      <c r="AH565" s="1391"/>
      <c r="AI565" s="1391"/>
      <c r="AJ565" s="1391"/>
      <c r="AK565" s="1391"/>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1" t="s">
        <v>2728</v>
      </c>
      <c r="H566" s="1391"/>
      <c r="I566" s="1391"/>
      <c r="J566" s="1391"/>
      <c r="K566" s="1391"/>
      <c r="L566" s="1391"/>
      <c r="M566" s="1391"/>
      <c r="N566" s="1391"/>
      <c r="O566" s="1391"/>
      <c r="P566" s="1391"/>
      <c r="Q566" s="1391"/>
      <c r="R566" s="1391"/>
      <c r="T566" s="22"/>
      <c r="U566" t="s">
        <v>590</v>
      </c>
      <c r="Z566" s="1374" t="s">
        <v>2728</v>
      </c>
      <c r="AA566" s="1374"/>
      <c r="AB566" s="1374"/>
      <c r="AC566" s="1374"/>
      <c r="AD566" s="1374"/>
      <c r="AE566" s="1374"/>
      <c r="AF566" s="1374"/>
      <c r="AG566" s="1374"/>
      <c r="AH566" s="1374"/>
      <c r="AI566" s="1374"/>
      <c r="AJ566" s="1374"/>
      <c r="AK566" s="1374"/>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1" t="s">
        <v>2729</v>
      </c>
      <c r="H567" s="1391"/>
      <c r="I567" s="1391"/>
      <c r="J567" s="1391"/>
      <c r="K567" s="1391"/>
      <c r="L567" s="1391"/>
      <c r="M567" s="1391"/>
      <c r="N567" s="1391"/>
      <c r="O567" s="1391"/>
      <c r="P567" s="1391"/>
      <c r="Q567" s="1391"/>
      <c r="R567" s="1391"/>
      <c r="S567" s="8"/>
      <c r="T567" s="22"/>
      <c r="U567" t="s">
        <v>17</v>
      </c>
      <c r="Z567" s="1374" t="s">
        <v>2729</v>
      </c>
      <c r="AA567" s="1374"/>
      <c r="AB567" s="1374"/>
      <c r="AC567" s="1374"/>
      <c r="AD567" s="1374"/>
      <c r="AE567" s="1374"/>
      <c r="AF567" s="1374"/>
      <c r="AG567" s="1374"/>
      <c r="AH567" s="1374"/>
      <c r="AI567" s="1374"/>
      <c r="AJ567" s="1374"/>
      <c r="AK567" s="137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63" t="s">
        <v>2730</v>
      </c>
      <c r="H568" s="1463"/>
      <c r="I568" s="1463"/>
      <c r="J568" s="1463"/>
      <c r="K568" s="1463"/>
      <c r="L568" s="1463"/>
      <c r="O568" s="1073" t="s">
        <v>208</v>
      </c>
      <c r="P568" s="1390"/>
      <c r="Q568" s="1390"/>
      <c r="R568" s="1390"/>
      <c r="S568" s="10"/>
      <c r="T568" s="22"/>
      <c r="U568" t="s">
        <v>318</v>
      </c>
      <c r="Z568" s="1463" t="s">
        <v>2730</v>
      </c>
      <c r="AA568" s="1463"/>
      <c r="AB568" s="1463"/>
      <c r="AC568" s="1463"/>
      <c r="AD568" s="1463"/>
      <c r="AE568" s="1463"/>
      <c r="AH568" s="1073" t="s">
        <v>208</v>
      </c>
      <c r="AI568" s="1390"/>
      <c r="AJ568" s="1390"/>
      <c r="AK568" s="139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1" t="s">
        <v>2721</v>
      </c>
      <c r="I569" s="1391"/>
      <c r="J569" s="1391"/>
      <c r="K569" s="1391"/>
      <c r="L569" s="1391"/>
      <c r="M569" s="1391"/>
      <c r="N569" s="1391"/>
      <c r="O569" s="1391"/>
      <c r="P569" s="1391"/>
      <c r="Q569" s="1391"/>
      <c r="R569" s="1391"/>
      <c r="S569" s="8"/>
      <c r="T569" s="22"/>
      <c r="U569" t="s">
        <v>18</v>
      </c>
      <c r="AA569" s="1391" t="s">
        <v>2723</v>
      </c>
      <c r="AB569" s="1391"/>
      <c r="AC569" s="1391"/>
      <c r="AD569" s="1391"/>
      <c r="AE569" s="1391"/>
      <c r="AF569" s="1391"/>
      <c r="AG569" s="1391"/>
      <c r="AH569" s="1391"/>
      <c r="AI569" s="1391"/>
      <c r="AJ569" s="1391"/>
      <c r="AK569" s="139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36" t="s">
        <v>2731</v>
      </c>
      <c r="N570" s="1536"/>
      <c r="O570" s="1536"/>
      <c r="P570" s="1536"/>
      <c r="Q570" s="1536"/>
      <c r="R570" s="1536"/>
      <c r="S570" s="8"/>
      <c r="T570" s="22"/>
      <c r="U570" s="349" t="s">
        <v>1329</v>
      </c>
      <c r="AA570" s="8"/>
      <c r="AB570" s="8"/>
      <c r="AC570" s="8"/>
      <c r="AD570" s="8"/>
      <c r="AE570" s="8"/>
      <c r="AF570" s="1536" t="s">
        <v>2731</v>
      </c>
      <c r="AG570" s="1536"/>
      <c r="AH570" s="1536"/>
      <c r="AI570" s="1536"/>
      <c r="AJ570" s="1536"/>
      <c r="AK570" s="153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8" t="s">
        <v>555</v>
      </c>
      <c r="O571" s="1378"/>
      <c r="T571" s="22"/>
      <c r="U571" t="s">
        <v>20</v>
      </c>
      <c r="AG571" s="1378" t="s">
        <v>555</v>
      </c>
      <c r="AH571" s="137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8" t="str">
        <f>C552</f>
        <v>LIHTC Equity</v>
      </c>
      <c r="H573" s="1518"/>
      <c r="I573" s="1518"/>
      <c r="J573" s="1518"/>
      <c r="K573" s="1518"/>
      <c r="L573" s="1518"/>
      <c r="M573" s="1518"/>
      <c r="N573" s="1518"/>
      <c r="O573" s="1518"/>
      <c r="P573" s="1518"/>
      <c r="Q573" s="1518"/>
      <c r="R573" s="1518"/>
      <c r="T573" s="55" t="s">
        <v>591</v>
      </c>
      <c r="U573" t="s">
        <v>473</v>
      </c>
      <c r="Z573" s="1518" t="str">
        <f>C553</f>
        <v>Equity Bridge Loan</v>
      </c>
      <c r="AA573" s="1518"/>
      <c r="AB573" s="1518"/>
      <c r="AC573" s="1518"/>
      <c r="AD573" s="1518"/>
      <c r="AE573" s="1518"/>
      <c r="AF573" s="1518"/>
      <c r="AG573" s="1518"/>
      <c r="AH573" s="1518"/>
      <c r="AI573" s="1518"/>
      <c r="AJ573" s="1518"/>
      <c r="AK573" s="151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1" t="s">
        <v>2693</v>
      </c>
      <c r="H574" s="1391"/>
      <c r="I574" s="1391"/>
      <c r="J574" s="1391"/>
      <c r="K574" s="1391"/>
      <c r="L574" s="1391"/>
      <c r="M574" s="1391"/>
      <c r="N574" s="1391"/>
      <c r="O574" s="1391"/>
      <c r="P574" s="1391"/>
      <c r="Q574" s="1391"/>
      <c r="R574" s="1391"/>
      <c r="T574" s="22"/>
      <c r="U574" t="s">
        <v>86</v>
      </c>
      <c r="Z574" s="1391" t="s">
        <v>2727</v>
      </c>
      <c r="AA574" s="1391"/>
      <c r="AB574" s="1391"/>
      <c r="AC574" s="1391"/>
      <c r="AD574" s="1391"/>
      <c r="AE574" s="1391"/>
      <c r="AF574" s="1391"/>
      <c r="AG574" s="1391"/>
      <c r="AH574" s="1391"/>
      <c r="AI574" s="1391"/>
      <c r="AJ574" s="1391"/>
      <c r="AK574" s="139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74" t="s">
        <v>2694</v>
      </c>
      <c r="H575" s="1374"/>
      <c r="I575" s="1374"/>
      <c r="J575" s="1374"/>
      <c r="K575" s="1374"/>
      <c r="L575" s="1374"/>
      <c r="M575" s="1374"/>
      <c r="N575" s="1374"/>
      <c r="O575" s="1374"/>
      <c r="P575" s="1374"/>
      <c r="Q575" s="1374"/>
      <c r="R575" s="1374"/>
      <c r="T575" s="22"/>
      <c r="U575" t="s">
        <v>590</v>
      </c>
      <c r="Z575" s="1374" t="s">
        <v>2728</v>
      </c>
      <c r="AA575" s="1374"/>
      <c r="AB575" s="1374"/>
      <c r="AC575" s="1374"/>
      <c r="AD575" s="1374"/>
      <c r="AE575" s="1374"/>
      <c r="AF575" s="1374"/>
      <c r="AG575" s="1374"/>
      <c r="AH575" s="1374"/>
      <c r="AI575" s="1374"/>
      <c r="AJ575" s="1374"/>
      <c r="AK575" s="137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74" t="s">
        <v>2732</v>
      </c>
      <c r="H576" s="1374"/>
      <c r="I576" s="1374"/>
      <c r="J576" s="1374"/>
      <c r="K576" s="1374"/>
      <c r="L576" s="1374"/>
      <c r="M576" s="1374"/>
      <c r="N576" s="1374"/>
      <c r="O576" s="1374"/>
      <c r="P576" s="1374"/>
      <c r="Q576" s="1374"/>
      <c r="R576" s="1374"/>
      <c r="T576" s="22"/>
      <c r="U576" t="s">
        <v>17</v>
      </c>
      <c r="Z576" s="1374" t="s">
        <v>2729</v>
      </c>
      <c r="AA576" s="1374"/>
      <c r="AB576" s="1374"/>
      <c r="AC576" s="1374"/>
      <c r="AD576" s="1374"/>
      <c r="AE576" s="1374"/>
      <c r="AF576" s="1374"/>
      <c r="AG576" s="1374"/>
      <c r="AH576" s="1374"/>
      <c r="AI576" s="1374"/>
      <c r="AJ576" s="1374"/>
      <c r="AK576" s="1374"/>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63" t="s">
        <v>2696</v>
      </c>
      <c r="H577" s="1463"/>
      <c r="I577" s="1463"/>
      <c r="J577" s="1463"/>
      <c r="K577" s="1463"/>
      <c r="L577" s="1463"/>
      <c r="O577" s="1073" t="s">
        <v>208</v>
      </c>
      <c r="P577" s="1390"/>
      <c r="Q577" s="1390"/>
      <c r="R577" s="1390"/>
      <c r="T577" s="22"/>
      <c r="U577" t="s">
        <v>318</v>
      </c>
      <c r="Z577" s="1463" t="s">
        <v>2730</v>
      </c>
      <c r="AA577" s="1463"/>
      <c r="AB577" s="1463"/>
      <c r="AC577" s="1463"/>
      <c r="AD577" s="1463"/>
      <c r="AE577" s="1463"/>
      <c r="AH577" s="1073" t="s">
        <v>208</v>
      </c>
      <c r="AI577" s="1390"/>
      <c r="AJ577" s="1390"/>
      <c r="AK577" s="13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1" t="s">
        <v>2733</v>
      </c>
      <c r="I578" s="1391"/>
      <c r="J578" s="1391"/>
      <c r="K578" s="1391"/>
      <c r="L578" s="1391"/>
      <c r="M578" s="1391"/>
      <c r="N578" s="1391"/>
      <c r="O578" s="1391"/>
      <c r="P578" s="1391"/>
      <c r="Q578" s="1391"/>
      <c r="R578" s="1391"/>
      <c r="T578" s="22"/>
      <c r="U578" t="s">
        <v>18</v>
      </c>
      <c r="AA578" s="1391" t="s">
        <v>2734</v>
      </c>
      <c r="AB578" s="1391"/>
      <c r="AC578" s="1391"/>
      <c r="AD578" s="1391"/>
      <c r="AE578" s="1391"/>
      <c r="AF578" s="1391"/>
      <c r="AG578" s="1391"/>
      <c r="AH578" s="1391"/>
      <c r="AI578" s="1391"/>
      <c r="AJ578" s="1391"/>
      <c r="AK578" s="139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8" t="s">
        <v>555</v>
      </c>
      <c r="O579" s="1378"/>
      <c r="T579" s="22"/>
      <c r="U579" t="s">
        <v>20</v>
      </c>
      <c r="AG579" s="1378" t="s">
        <v>555</v>
      </c>
      <c r="AH579" s="137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8" t="str">
        <f>C554</f>
        <v>Deferred costs</v>
      </c>
      <c r="H581" s="1518"/>
      <c r="I581" s="1518"/>
      <c r="J581" s="1518"/>
      <c r="K581" s="1518"/>
      <c r="L581" s="1518"/>
      <c r="M581" s="1518"/>
      <c r="N581" s="1518"/>
      <c r="O581" s="1518"/>
      <c r="P581" s="1518"/>
      <c r="Q581" s="1518"/>
      <c r="R581" s="1518"/>
      <c r="T581" s="55" t="s">
        <v>594</v>
      </c>
      <c r="U581" t="s">
        <v>473</v>
      </c>
      <c r="Z581" s="1518">
        <f>C555</f>
        <v>0</v>
      </c>
      <c r="AA581" s="1518"/>
      <c r="AB581" s="1518"/>
      <c r="AC581" s="1518"/>
      <c r="AD581" s="1518"/>
      <c r="AE581" s="1518"/>
      <c r="AF581" s="1518"/>
      <c r="AG581" s="1518"/>
      <c r="AH581" s="1518"/>
      <c r="AI581" s="1518"/>
      <c r="AJ581" s="1518"/>
      <c r="AK581" s="151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1" t="s">
        <v>2635</v>
      </c>
      <c r="H582" s="1391"/>
      <c r="I582" s="1391"/>
      <c r="J582" s="1391"/>
      <c r="K582" s="1391"/>
      <c r="L582" s="1391"/>
      <c r="M582" s="1391"/>
      <c r="N582" s="1391"/>
      <c r="O582" s="1391"/>
      <c r="P582" s="1391"/>
      <c r="Q582" s="1391"/>
      <c r="R582" s="1391"/>
      <c r="T582" s="22"/>
      <c r="U582" t="s">
        <v>86</v>
      </c>
      <c r="Z582" s="1391"/>
      <c r="AA582" s="1391"/>
      <c r="AB582" s="1391"/>
      <c r="AC582" s="1391"/>
      <c r="AD582" s="1391"/>
      <c r="AE582" s="1391"/>
      <c r="AF582" s="1391"/>
      <c r="AG582" s="1391"/>
      <c r="AH582" s="1391"/>
      <c r="AI582" s="1391"/>
      <c r="AJ582" s="1391"/>
      <c r="AK582" s="139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1" t="s">
        <v>2662</v>
      </c>
      <c r="H583" s="1391"/>
      <c r="I583" s="1391"/>
      <c r="J583" s="1391"/>
      <c r="K583" s="1391"/>
      <c r="L583" s="1391"/>
      <c r="M583" s="1391"/>
      <c r="N583" s="1391"/>
      <c r="O583" s="1391"/>
      <c r="P583" s="1391"/>
      <c r="Q583" s="1391"/>
      <c r="R583" s="1391"/>
      <c r="T583" s="22"/>
      <c r="U583" t="s">
        <v>590</v>
      </c>
      <c r="Z583" s="1374"/>
      <c r="AA583" s="1374"/>
      <c r="AB583" s="1374"/>
      <c r="AC583" s="1374"/>
      <c r="AD583" s="1374"/>
      <c r="AE583" s="1374"/>
      <c r="AF583" s="1374"/>
      <c r="AG583" s="1374"/>
      <c r="AH583" s="1374"/>
      <c r="AI583" s="1374"/>
      <c r="AJ583" s="1374"/>
      <c r="AK583" s="137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1" t="s">
        <v>2645</v>
      </c>
      <c r="H584" s="1391"/>
      <c r="I584" s="1391"/>
      <c r="J584" s="1391"/>
      <c r="K584" s="1391"/>
      <c r="L584" s="1391"/>
      <c r="M584" s="1391"/>
      <c r="N584" s="1391"/>
      <c r="O584" s="1391"/>
      <c r="P584" s="1391"/>
      <c r="Q584" s="1391"/>
      <c r="R584" s="1391"/>
      <c r="T584" s="22"/>
      <c r="U584" t="s">
        <v>17</v>
      </c>
      <c r="Z584" s="1374"/>
      <c r="AA584" s="1374"/>
      <c r="AB584" s="1374"/>
      <c r="AC584" s="1374"/>
      <c r="AD584" s="1374"/>
      <c r="AE584" s="1374"/>
      <c r="AF584" s="1374"/>
      <c r="AG584" s="1374"/>
      <c r="AH584" s="1374"/>
      <c r="AI584" s="1374"/>
      <c r="AJ584" s="1374"/>
      <c r="AK584" s="1374"/>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63" t="s">
        <v>2646</v>
      </c>
      <c r="H585" s="1463"/>
      <c r="I585" s="1463"/>
      <c r="J585" s="1463"/>
      <c r="K585" s="1463"/>
      <c r="L585" s="1463"/>
      <c r="O585" s="1073" t="s">
        <v>208</v>
      </c>
      <c r="P585" s="1390"/>
      <c r="Q585" s="1390"/>
      <c r="R585" s="1390"/>
      <c r="T585" s="22"/>
      <c r="U585" t="s">
        <v>318</v>
      </c>
      <c r="Z585" s="1439"/>
      <c r="AA585" s="1439"/>
      <c r="AB585" s="1439"/>
      <c r="AC585" s="1439"/>
      <c r="AD585" s="1439"/>
      <c r="AE585" s="1439"/>
      <c r="AH585" s="33" t="s">
        <v>208</v>
      </c>
      <c r="AI585" s="1422"/>
      <c r="AJ585" s="1422"/>
      <c r="AK585" s="142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1" t="s">
        <v>2735</v>
      </c>
      <c r="I586" s="1391"/>
      <c r="J586" s="1391"/>
      <c r="K586" s="1391"/>
      <c r="L586" s="1391"/>
      <c r="M586" s="1391"/>
      <c r="N586" s="1391"/>
      <c r="O586" s="1391"/>
      <c r="P586" s="1391"/>
      <c r="Q586" s="1391"/>
      <c r="R586" s="1391"/>
      <c r="T586" s="22"/>
      <c r="U586" t="s">
        <v>18</v>
      </c>
      <c r="AA586" s="1391"/>
      <c r="AB586" s="1391"/>
      <c r="AC586" s="1391"/>
      <c r="AD586" s="1391"/>
      <c r="AE586" s="1391"/>
      <c r="AF586" s="1391"/>
      <c r="AG586" s="1391"/>
      <c r="AH586" s="1391"/>
      <c r="AI586" s="1391"/>
      <c r="AJ586" s="1391"/>
      <c r="AK586" s="139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8" t="s">
        <v>555</v>
      </c>
      <c r="O587" s="1378"/>
      <c r="T587" s="22"/>
      <c r="U587" t="s">
        <v>20</v>
      </c>
      <c r="AG587" s="1378" t="s">
        <v>679</v>
      </c>
      <c r="AH587" s="1378"/>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8">
        <f>C556</f>
        <v>0</v>
      </c>
      <c r="H589" s="1518"/>
      <c r="I589" s="1518"/>
      <c r="J589" s="1518"/>
      <c r="K589" s="1518"/>
      <c r="L589" s="1518"/>
      <c r="M589" s="1518"/>
      <c r="N589" s="1518"/>
      <c r="O589" s="1518"/>
      <c r="P589" s="1518"/>
      <c r="Q589" s="1518"/>
      <c r="R589" s="1518"/>
      <c r="T589" s="55" t="s">
        <v>466</v>
      </c>
      <c r="U589" t="s">
        <v>473</v>
      </c>
      <c r="Z589" s="1518">
        <f>C557</f>
        <v>0</v>
      </c>
      <c r="AA589" s="1518"/>
      <c r="AB589" s="1518"/>
      <c r="AC589" s="1518"/>
      <c r="AD589" s="1518"/>
      <c r="AE589" s="1518"/>
      <c r="AF589" s="1518"/>
      <c r="AG589" s="1518"/>
      <c r="AH589" s="1518"/>
      <c r="AI589" s="1518"/>
      <c r="AJ589" s="1518"/>
      <c r="AK589" s="151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1"/>
      <c r="H590" s="1391"/>
      <c r="I590" s="1391"/>
      <c r="J590" s="1391"/>
      <c r="K590" s="1391"/>
      <c r="L590" s="1391"/>
      <c r="M590" s="1391"/>
      <c r="N590" s="1391"/>
      <c r="O590" s="1391"/>
      <c r="P590" s="1391"/>
      <c r="Q590" s="1391"/>
      <c r="R590" s="1391"/>
      <c r="T590" s="22"/>
      <c r="U590" t="s">
        <v>86</v>
      </c>
      <c r="Z590" s="1391"/>
      <c r="AA590" s="1391"/>
      <c r="AB590" s="1391"/>
      <c r="AC590" s="1391"/>
      <c r="AD590" s="1391"/>
      <c r="AE590" s="1391"/>
      <c r="AF590" s="1391"/>
      <c r="AG590" s="1391"/>
      <c r="AH590" s="1391"/>
      <c r="AI590" s="1391"/>
      <c r="AJ590" s="1391"/>
      <c r="AK590" s="139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1"/>
      <c r="H591" s="1391"/>
      <c r="I591" s="1391"/>
      <c r="J591" s="1391"/>
      <c r="K591" s="1391"/>
      <c r="L591" s="1391"/>
      <c r="M591" s="1391"/>
      <c r="N591" s="1391"/>
      <c r="O591" s="1391"/>
      <c r="P591" s="1391"/>
      <c r="Q591" s="1391"/>
      <c r="R591" s="1391"/>
      <c r="T591" s="22"/>
      <c r="U591" t="s">
        <v>590</v>
      </c>
      <c r="Z591" s="1374"/>
      <c r="AA591" s="1374"/>
      <c r="AB591" s="1374"/>
      <c r="AC591" s="1374"/>
      <c r="AD591" s="1374"/>
      <c r="AE591" s="1374"/>
      <c r="AF591" s="1374"/>
      <c r="AG591" s="1374"/>
      <c r="AH591" s="1374"/>
      <c r="AI591" s="1374"/>
      <c r="AJ591" s="1374"/>
      <c r="AK591" s="137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1"/>
      <c r="H592" s="1391"/>
      <c r="I592" s="1391"/>
      <c r="J592" s="1391"/>
      <c r="K592" s="1391"/>
      <c r="L592" s="1391"/>
      <c r="M592" s="1391"/>
      <c r="N592" s="1391"/>
      <c r="O592" s="1391"/>
      <c r="P592" s="1391"/>
      <c r="Q592" s="1391"/>
      <c r="R592" s="1391"/>
      <c r="T592" s="22"/>
      <c r="U592" t="s">
        <v>17</v>
      </c>
      <c r="Z592" s="1374"/>
      <c r="AA592" s="1374"/>
      <c r="AB592" s="1374"/>
      <c r="AC592" s="1374"/>
      <c r="AD592" s="1374"/>
      <c r="AE592" s="1374"/>
      <c r="AF592" s="1374"/>
      <c r="AG592" s="1374"/>
      <c r="AH592" s="1374"/>
      <c r="AI592" s="1374"/>
      <c r="AJ592" s="1374"/>
      <c r="AK592" s="1374"/>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9"/>
      <c r="H593" s="1439"/>
      <c r="I593" s="1439"/>
      <c r="J593" s="1439"/>
      <c r="K593" s="1439"/>
      <c r="L593" s="1439"/>
      <c r="M593"/>
      <c r="N593"/>
      <c r="O593" s="33" t="s">
        <v>208</v>
      </c>
      <c r="P593" s="1422"/>
      <c r="Q593" s="1422"/>
      <c r="R593" s="1422"/>
      <c r="S593"/>
      <c r="T593" s="22"/>
      <c r="U593" t="s">
        <v>318</v>
      </c>
      <c r="V593"/>
      <c r="W593"/>
      <c r="X593"/>
      <c r="Y593"/>
      <c r="Z593" s="1439"/>
      <c r="AA593" s="1439"/>
      <c r="AB593" s="1439"/>
      <c r="AC593" s="1439"/>
      <c r="AD593" s="1439"/>
      <c r="AE593" s="1439"/>
      <c r="AF593"/>
      <c r="AG593"/>
      <c r="AH593" s="33" t="s">
        <v>208</v>
      </c>
      <c r="AI593" s="1422"/>
      <c r="AJ593" s="1422"/>
      <c r="AK593" s="142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1"/>
      <c r="I594" s="1391"/>
      <c r="J594" s="1391"/>
      <c r="K594" s="1391"/>
      <c r="L594" s="1391"/>
      <c r="M594" s="1391"/>
      <c r="N594" s="1391"/>
      <c r="O594" s="1391"/>
      <c r="P594" s="1391"/>
      <c r="Q594" s="1391"/>
      <c r="R594" s="1391"/>
      <c r="S594"/>
      <c r="T594" s="22"/>
      <c r="U594" t="s">
        <v>18</v>
      </c>
      <c r="V594"/>
      <c r="W594"/>
      <c r="X594"/>
      <c r="Y594"/>
      <c r="Z594"/>
      <c r="AA594" s="1391"/>
      <c r="AB594" s="1391"/>
      <c r="AC594" s="1391"/>
      <c r="AD594" s="1391"/>
      <c r="AE594" s="1391"/>
      <c r="AF594" s="1391"/>
      <c r="AG594" s="1391"/>
      <c r="AH594" s="1391"/>
      <c r="AI594" s="1391"/>
      <c r="AJ594" s="1391"/>
      <c r="AK594" s="139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8" t="s">
        <v>679</v>
      </c>
      <c r="O595" s="1378"/>
      <c r="P595"/>
      <c r="Q595"/>
      <c r="R595"/>
      <c r="S595"/>
      <c r="T595" s="22"/>
      <c r="U595" t="s">
        <v>20</v>
      </c>
      <c r="V595"/>
      <c r="W595"/>
      <c r="X595"/>
      <c r="Y595"/>
      <c r="Z595"/>
      <c r="AA595"/>
      <c r="AB595"/>
      <c r="AC595"/>
      <c r="AD595"/>
      <c r="AE595"/>
      <c r="AF595"/>
      <c r="AG595" s="1378" t="s">
        <v>679</v>
      </c>
      <c r="AH595" s="1378"/>
      <c r="AI595"/>
      <c r="AJ595"/>
      <c r="AK595"/>
      <c r="AL595"/>
      <c r="AM595"/>
      <c r="AN595"/>
      <c r="AO595"/>
      <c r="AP595"/>
      <c r="AQ595"/>
      <c r="AR595"/>
      <c r="AS595"/>
      <c r="AT595"/>
      <c r="AU595"/>
      <c r="AV595"/>
      <c r="AW595"/>
      <c r="AX595"/>
      <c r="AY595"/>
      <c r="BA595" s="4" t="s">
        <v>326</v>
      </c>
      <c r="BB595" s="3"/>
      <c r="BC595" s="3"/>
      <c r="BD595" s="3"/>
      <c r="BE595" s="121" t="s">
        <v>484</v>
      </c>
      <c r="BF595" s="122"/>
      <c r="BG595" s="1473"/>
      <c r="BH595" s="1474"/>
      <c r="BI595" s="121" t="s">
        <v>485</v>
      </c>
      <c r="BJ595" s="122"/>
      <c r="BK595" s="1473"/>
      <c r="BL595" s="1474"/>
      <c r="BM595" s="3"/>
      <c r="BN595" s="1720" t="s">
        <v>643</v>
      </c>
      <c r="BO595" s="1721"/>
      <c r="BP595" s="1721"/>
      <c r="BQ595" s="1721"/>
      <c r="BR595" s="1722"/>
      <c r="BS595" s="1517" t="s">
        <v>327</v>
      </c>
      <c r="BT595" s="1517"/>
      <c r="BU595" s="1517"/>
      <c r="BV595" s="1517"/>
      <c r="BW595" s="1517"/>
      <c r="BX595" s="1517" t="s">
        <v>164</v>
      </c>
      <c r="BY595" s="1517"/>
      <c r="BZ595" s="1517"/>
      <c r="CA595" s="1517"/>
      <c r="CB595" s="1517"/>
      <c r="CC595" s="1517" t="s">
        <v>165</v>
      </c>
      <c r="CD595" s="1517"/>
      <c r="CE595" s="1517"/>
      <c r="CF595" s="1517"/>
      <c r="CG595" s="1517"/>
      <c r="CH595" s="1517" t="s">
        <v>470</v>
      </c>
      <c r="CI595" s="1517"/>
      <c r="CJ595" s="1517"/>
      <c r="CK595" s="1517"/>
      <c r="CL595" s="1517"/>
      <c r="CM595" s="1517" t="s">
        <v>30</v>
      </c>
      <c r="CN595" s="1517"/>
      <c r="CO595" s="1517"/>
      <c r="CP595" s="1517"/>
      <c r="CQ595" s="1517"/>
      <c r="CR595" s="89"/>
      <c r="CS595" s="1517" t="s">
        <v>643</v>
      </c>
      <c r="CT595" s="1517"/>
      <c r="CU595" s="1517"/>
      <c r="CV595" s="1517"/>
      <c r="CW595" s="1517"/>
      <c r="CX595" s="1517" t="s">
        <v>327</v>
      </c>
      <c r="CY595" s="1517"/>
      <c r="CZ595" s="1517"/>
      <c r="DA595" s="1517"/>
      <c r="DB595" s="1517"/>
      <c r="DC595" s="1517" t="s">
        <v>164</v>
      </c>
      <c r="DD595" s="1517"/>
      <c r="DE595" s="1517"/>
      <c r="DF595" s="1517"/>
      <c r="DG595" s="1517"/>
      <c r="DH595" s="1517" t="s">
        <v>165</v>
      </c>
      <c r="DI595" s="1517"/>
      <c r="DJ595" s="1517"/>
      <c r="DK595" s="1517"/>
      <c r="DL595" s="1517"/>
      <c r="DM595" s="1517" t="s">
        <v>470</v>
      </c>
      <c r="DN595" s="1517"/>
      <c r="DO595" s="1517"/>
      <c r="DP595" s="1517"/>
      <c r="DQ595" s="1517"/>
      <c r="DR595" s="1517" t="s">
        <v>30</v>
      </c>
      <c r="DS595" s="1517"/>
      <c r="DT595" s="1517"/>
      <c r="DU595" s="1517"/>
      <c r="DV595" s="1517"/>
      <c r="DX595" s="1517" t="s">
        <v>643</v>
      </c>
      <c r="DY595" s="1517"/>
      <c r="DZ595" s="1517"/>
      <c r="EA595" s="1517"/>
      <c r="EB595" s="1517"/>
      <c r="EC595" s="1517" t="s">
        <v>327</v>
      </c>
      <c r="ED595" s="1517"/>
      <c r="EE595" s="1517"/>
      <c r="EF595" s="1517"/>
      <c r="EG595" s="1517"/>
      <c r="EH595" s="1517" t="s">
        <v>164</v>
      </c>
      <c r="EI595" s="1517"/>
      <c r="EJ595" s="1517"/>
      <c r="EK595" s="1517"/>
      <c r="EL595" s="1517"/>
      <c r="EM595" s="1517" t="s">
        <v>165</v>
      </c>
      <c r="EN595" s="1517"/>
      <c r="EO595" s="1517"/>
      <c r="EP595" s="1517"/>
      <c r="EQ595" s="1517"/>
      <c r="ER595" s="1517" t="s">
        <v>470</v>
      </c>
      <c r="ES595" s="1517"/>
      <c r="ET595" s="1517"/>
      <c r="EU595" s="1517"/>
      <c r="EV595" s="1517"/>
      <c r="EW595" s="1517" t="s">
        <v>30</v>
      </c>
      <c r="EX595" s="1517"/>
      <c r="EY595" s="1517"/>
      <c r="EZ595" s="1517"/>
      <c r="FA595" s="1517"/>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6">
        <f t="shared" ref="BE596:BE620" si="1">IF(AND(AC714&lt;=0.5,AC714&gt;=0.36),1,0)</f>
        <v>0</v>
      </c>
      <c r="BF596" s="1417"/>
      <c r="BG596" s="1473">
        <f t="shared" ref="BG596:BG620" si="2">IF(BE596=1,G714,0)</f>
        <v>0</v>
      </c>
      <c r="BH596" s="1474"/>
      <c r="BI596" s="1416">
        <f t="shared" ref="BI596:BI620" si="3">IF(AND(AC714&lt;=0.35,AC714&gt;0),1,0)</f>
        <v>1</v>
      </c>
      <c r="BJ596" s="1417"/>
      <c r="BK596" s="1473">
        <f t="shared" ref="BK596:BK620" si="4">IF(BI596=1,G714,0)</f>
        <v>6</v>
      </c>
      <c r="BL596" s="1474"/>
      <c r="BM596" s="3"/>
      <c r="BN596" s="1475">
        <f t="shared" ref="BN596:BN620" si="5">IF(B714="SRO/Studio",G714,0)</f>
        <v>0</v>
      </c>
      <c r="BO596" s="1476"/>
      <c r="BP596" s="1476"/>
      <c r="BQ596" s="1476"/>
      <c r="BR596" s="1477"/>
      <c r="BS596" s="1392">
        <f t="shared" ref="BS596:BS620" si="6">IF(B714="1 Bedroom",G714,0)</f>
        <v>6</v>
      </c>
      <c r="BT596" s="1392"/>
      <c r="BU596" s="1392"/>
      <c r="BV596" s="1392"/>
      <c r="BW596" s="1392"/>
      <c r="BX596" s="1392">
        <f t="shared" ref="BX596:BX620" si="7">IF(B714="2 Bedrooms",G714,0)</f>
        <v>0</v>
      </c>
      <c r="BY596" s="1392"/>
      <c r="BZ596" s="1392"/>
      <c r="CA596" s="1392"/>
      <c r="CB596" s="1392"/>
      <c r="CC596" s="1392">
        <f t="shared" ref="CC596:CC620" si="8">IF(B714="3 Bedrooms",G714,0)</f>
        <v>0</v>
      </c>
      <c r="CD596" s="1392"/>
      <c r="CE596" s="1392"/>
      <c r="CF596" s="1392"/>
      <c r="CG596" s="1392"/>
      <c r="CH596" s="1392">
        <f t="shared" ref="CH596:CH620" si="9">IF(B714="4 Bedrooms",G714,0)</f>
        <v>0</v>
      </c>
      <c r="CI596" s="1392"/>
      <c r="CJ596" s="1392"/>
      <c r="CK596" s="1392"/>
      <c r="CL596" s="1392"/>
      <c r="CM596" s="1392">
        <f t="shared" ref="CM596:CM620" si="10">IF(B714="5 Bedrooms",G714,0)</f>
        <v>0</v>
      </c>
      <c r="CN596" s="1392"/>
      <c r="CO596" s="1392"/>
      <c r="CP596" s="1392"/>
      <c r="CQ596" s="1392"/>
      <c r="CR596" s="6"/>
      <c r="CS596" s="1711">
        <f t="shared" ref="CS596:CS620" si="11">IF(AND(B714="SRO/Studio",AC714&lt;=0.3),G714,0)</f>
        <v>0</v>
      </c>
      <c r="CT596" s="1711"/>
      <c r="CU596" s="1711"/>
      <c r="CV596" s="1711"/>
      <c r="CW596" s="1711"/>
      <c r="CX596" s="1711">
        <f t="shared" ref="CX596:CX620" si="12">IF(AND(B714="1 Bedroom",AC714&lt;=0.3),G714,0)</f>
        <v>6</v>
      </c>
      <c r="CY596" s="1711"/>
      <c r="CZ596" s="1711"/>
      <c r="DA596" s="1711"/>
      <c r="DB596" s="1711"/>
      <c r="DC596" s="1711">
        <f t="shared" ref="DC596:DC620" si="13">IF(AND(B714="2 Bedrooms",AC714&lt;=0.3),G714,0)</f>
        <v>0</v>
      </c>
      <c r="DD596" s="1711"/>
      <c r="DE596" s="1711"/>
      <c r="DF596" s="1711"/>
      <c r="DG596" s="1711"/>
      <c r="DH596" s="1711">
        <f t="shared" ref="DH596:DH620" si="14">IF(AND(B714="3 Bedrooms",AC714&lt;=0.3),G714,0)</f>
        <v>0</v>
      </c>
      <c r="DI596" s="1711"/>
      <c r="DJ596" s="1711"/>
      <c r="DK596" s="1711"/>
      <c r="DL596" s="1711"/>
      <c r="DM596" s="1711">
        <f t="shared" ref="DM596:DM620" si="15">IF(AND(B714="4 Bedrooms",AC714&lt;=0.3),G714,0)</f>
        <v>0</v>
      </c>
      <c r="DN596" s="1711"/>
      <c r="DO596" s="1711"/>
      <c r="DP596" s="1711"/>
      <c r="DQ596" s="1711"/>
      <c r="DR596" s="1711">
        <f t="shared" ref="DR596:DR620" si="16">IF(AND(B714="5 Bedrooms",AC714&lt;=0.3),G714,0)</f>
        <v>0</v>
      </c>
      <c r="DS596" s="1711"/>
      <c r="DT596" s="1711"/>
      <c r="DU596" s="1711"/>
      <c r="DV596" s="1711"/>
      <c r="DX596" s="1416" t="str">
        <f t="shared" ref="DX596:DX620" si="17">IF(BN596&gt;0,O714," ")</f>
        <v xml:space="preserve"> </v>
      </c>
      <c r="DY596" s="1857"/>
      <c r="DZ596" s="1857"/>
      <c r="EA596" s="1857"/>
      <c r="EB596" s="1417"/>
      <c r="EC596" s="1416">
        <f t="shared" ref="EC596:EC620" si="18">IF(BS596&gt;0,O714," ")</f>
        <v>500</v>
      </c>
      <c r="ED596" s="1857"/>
      <c r="EE596" s="1857"/>
      <c r="EF596" s="1857"/>
      <c r="EG596" s="1417"/>
      <c r="EH596" s="1416" t="str">
        <f t="shared" ref="EH596:EH620" si="19">IF(BX596&gt;0,O714," ")</f>
        <v xml:space="preserve"> </v>
      </c>
      <c r="EI596" s="1857"/>
      <c r="EJ596" s="1857"/>
      <c r="EK596" s="1857"/>
      <c r="EL596" s="1417"/>
      <c r="EM596" s="1416" t="str">
        <f t="shared" ref="EM596:EM620" si="20">IF(CC596&gt;0,O714," ")</f>
        <v xml:space="preserve"> </v>
      </c>
      <c r="EN596" s="1857"/>
      <c r="EO596" s="1857"/>
      <c r="EP596" s="1857"/>
      <c r="EQ596" s="1417"/>
      <c r="ER596" s="1416" t="str">
        <f t="shared" ref="ER596:ER620" si="21">IF(CH596&gt;0,O714," ")</f>
        <v xml:space="preserve"> </v>
      </c>
      <c r="ES596" s="1857"/>
      <c r="ET596" s="1857"/>
      <c r="EU596" s="1857"/>
      <c r="EV596" s="1417"/>
      <c r="EW596" s="1416" t="str">
        <f t="shared" ref="EW596:EW620" si="22">IF(CM596&gt;0,O714," ")</f>
        <v xml:space="preserve"> </v>
      </c>
      <c r="EX596" s="1857"/>
      <c r="EY596" s="1857"/>
      <c r="EZ596" s="1857"/>
      <c r="FA596" s="1417"/>
    </row>
    <row r="597" spans="1:157" s="4" customFormat="1" ht="12.95" customHeight="1">
      <c r="A597" s="55" t="s">
        <v>471</v>
      </c>
      <c r="B597" t="s">
        <v>473</v>
      </c>
      <c r="C597"/>
      <c r="D597"/>
      <c r="E597"/>
      <c r="F597"/>
      <c r="G597" s="1518">
        <f>C558</f>
        <v>0</v>
      </c>
      <c r="H597" s="1518"/>
      <c r="I597" s="1518"/>
      <c r="J597" s="1518"/>
      <c r="K597" s="1518"/>
      <c r="L597" s="1518"/>
      <c r="M597" s="1518"/>
      <c r="N597" s="1518"/>
      <c r="O597" s="1518"/>
      <c r="P597" s="1518"/>
      <c r="Q597" s="1518"/>
      <c r="R597" s="1518"/>
      <c r="S597"/>
      <c r="T597" s="55" t="s">
        <v>656</v>
      </c>
      <c r="U597" t="s">
        <v>473</v>
      </c>
      <c r="V597"/>
      <c r="W597"/>
      <c r="X597"/>
      <c r="Y597"/>
      <c r="Z597" s="1518">
        <f>C559</f>
        <v>0</v>
      </c>
      <c r="AA597" s="1518"/>
      <c r="AB597" s="1518"/>
      <c r="AC597" s="1518"/>
      <c r="AD597" s="1518"/>
      <c r="AE597" s="1518"/>
      <c r="AF597" s="1518"/>
      <c r="AG597" s="1518"/>
      <c r="AH597" s="1518"/>
      <c r="AI597" s="1518"/>
      <c r="AJ597" s="1518"/>
      <c r="AK597" s="1518"/>
      <c r="AL597"/>
      <c r="AM597"/>
      <c r="AN597"/>
      <c r="AO597"/>
      <c r="AP597"/>
      <c r="AQ597"/>
      <c r="AR597"/>
      <c r="AS597"/>
      <c r="AT597"/>
      <c r="AU597"/>
      <c r="AV597"/>
      <c r="AW597"/>
      <c r="AX597"/>
      <c r="AY597"/>
      <c r="BA597" s="4" t="s">
        <v>164</v>
      </c>
      <c r="BB597" s="3"/>
      <c r="BC597" s="3"/>
      <c r="BD597" s="3"/>
      <c r="BE597" s="1416">
        <f t="shared" si="1"/>
        <v>1</v>
      </c>
      <c r="BF597" s="1417"/>
      <c r="BG597" s="1473">
        <f t="shared" si="2"/>
        <v>4</v>
      </c>
      <c r="BH597" s="1474"/>
      <c r="BI597" s="1416">
        <f t="shared" si="3"/>
        <v>0</v>
      </c>
      <c r="BJ597" s="1417"/>
      <c r="BK597" s="1473">
        <f t="shared" si="4"/>
        <v>0</v>
      </c>
      <c r="BL597" s="1474"/>
      <c r="BM597" s="3"/>
      <c r="BN597" s="1475">
        <f t="shared" si="5"/>
        <v>0</v>
      </c>
      <c r="BO597" s="1476"/>
      <c r="BP597" s="1476"/>
      <c r="BQ597" s="1476"/>
      <c r="BR597" s="1477"/>
      <c r="BS597" s="1392">
        <f t="shared" si="6"/>
        <v>4</v>
      </c>
      <c r="BT597" s="1392"/>
      <c r="BU597" s="1392"/>
      <c r="BV597" s="1392"/>
      <c r="BW597" s="1392"/>
      <c r="BX597" s="1392">
        <f t="shared" si="7"/>
        <v>0</v>
      </c>
      <c r="BY597" s="1392"/>
      <c r="BZ597" s="1392"/>
      <c r="CA597" s="1392"/>
      <c r="CB597" s="1392"/>
      <c r="CC597" s="1392">
        <f t="shared" si="8"/>
        <v>0</v>
      </c>
      <c r="CD597" s="1392"/>
      <c r="CE597" s="1392"/>
      <c r="CF597" s="1392"/>
      <c r="CG597" s="1392"/>
      <c r="CH597" s="1392">
        <f t="shared" si="9"/>
        <v>0</v>
      </c>
      <c r="CI597" s="1392"/>
      <c r="CJ597" s="1392"/>
      <c r="CK597" s="1392"/>
      <c r="CL597" s="1392"/>
      <c r="CM597" s="1392">
        <f t="shared" si="10"/>
        <v>0</v>
      </c>
      <c r="CN597" s="1392"/>
      <c r="CO597" s="1392"/>
      <c r="CP597" s="1392"/>
      <c r="CQ597" s="1392"/>
      <c r="CR597" s="6"/>
      <c r="CS597" s="1711">
        <f t="shared" si="11"/>
        <v>0</v>
      </c>
      <c r="CT597" s="1711"/>
      <c r="CU597" s="1711"/>
      <c r="CV597" s="1711"/>
      <c r="CW597" s="1711"/>
      <c r="CX597" s="1711">
        <f t="shared" si="12"/>
        <v>0</v>
      </c>
      <c r="CY597" s="1711"/>
      <c r="CZ597" s="1711"/>
      <c r="DA597" s="1711"/>
      <c r="DB597" s="1711"/>
      <c r="DC597" s="1711">
        <f t="shared" si="13"/>
        <v>0</v>
      </c>
      <c r="DD597" s="1711"/>
      <c r="DE597" s="1711"/>
      <c r="DF597" s="1711"/>
      <c r="DG597" s="1711"/>
      <c r="DH597" s="1711">
        <f t="shared" si="14"/>
        <v>0</v>
      </c>
      <c r="DI597" s="1711"/>
      <c r="DJ597" s="1711"/>
      <c r="DK597" s="1711"/>
      <c r="DL597" s="1711"/>
      <c r="DM597" s="1711">
        <f t="shared" si="15"/>
        <v>0</v>
      </c>
      <c r="DN597" s="1711"/>
      <c r="DO597" s="1711"/>
      <c r="DP597" s="1711"/>
      <c r="DQ597" s="1711"/>
      <c r="DR597" s="1711">
        <f t="shared" si="16"/>
        <v>0</v>
      </c>
      <c r="DS597" s="1711"/>
      <c r="DT597" s="1711"/>
      <c r="DU597" s="1711"/>
      <c r="DV597" s="1711"/>
      <c r="DX597" s="1416" t="str">
        <f t="shared" si="17"/>
        <v xml:space="preserve"> </v>
      </c>
      <c r="DY597" s="1857"/>
      <c r="DZ597" s="1857"/>
      <c r="EA597" s="1857"/>
      <c r="EB597" s="1417"/>
      <c r="EC597" s="1416">
        <f t="shared" si="18"/>
        <v>946</v>
      </c>
      <c r="ED597" s="1857"/>
      <c r="EE597" s="1857"/>
      <c r="EF597" s="1857"/>
      <c r="EG597" s="1417"/>
      <c r="EH597" s="1416" t="str">
        <f t="shared" si="19"/>
        <v xml:space="preserve"> </v>
      </c>
      <c r="EI597" s="1857"/>
      <c r="EJ597" s="1857"/>
      <c r="EK597" s="1857"/>
      <c r="EL597" s="1417"/>
      <c r="EM597" s="1416" t="str">
        <f t="shared" si="20"/>
        <v xml:space="preserve"> </v>
      </c>
      <c r="EN597" s="1857"/>
      <c r="EO597" s="1857"/>
      <c r="EP597" s="1857"/>
      <c r="EQ597" s="1417"/>
      <c r="ER597" s="1416" t="str">
        <f t="shared" si="21"/>
        <v xml:space="preserve"> </v>
      </c>
      <c r="ES597" s="1857"/>
      <c r="ET597" s="1857"/>
      <c r="EU597" s="1857"/>
      <c r="EV597" s="1417"/>
      <c r="EW597" s="1416" t="str">
        <f t="shared" si="22"/>
        <v xml:space="preserve"> </v>
      </c>
      <c r="EX597" s="1857"/>
      <c r="EY597" s="1857"/>
      <c r="EZ597" s="1857"/>
      <c r="FA597" s="1417"/>
    </row>
    <row r="598" spans="1:157" ht="12.95" customHeight="1">
      <c r="A598" s="22"/>
      <c r="B598" t="s">
        <v>86</v>
      </c>
      <c r="G598" s="1391"/>
      <c r="H598" s="1391"/>
      <c r="I598" s="1391"/>
      <c r="J598" s="1391"/>
      <c r="K598" s="1391"/>
      <c r="L598" s="1391"/>
      <c r="M598" s="1391"/>
      <c r="N598" s="1391"/>
      <c r="O598" s="1391"/>
      <c r="P598" s="1391"/>
      <c r="Q598" s="1391"/>
      <c r="R598" s="1391"/>
      <c r="T598" s="22"/>
      <c r="U598" t="s">
        <v>86</v>
      </c>
      <c r="Z598" s="1391"/>
      <c r="AA598" s="1391"/>
      <c r="AB598" s="1391"/>
      <c r="AC598" s="1391"/>
      <c r="AD598" s="1391"/>
      <c r="AE598" s="1391"/>
      <c r="AF598" s="1391"/>
      <c r="AG598" s="1391"/>
      <c r="AH598" s="1391"/>
      <c r="AI598" s="1391"/>
      <c r="AJ598" s="1391"/>
      <c r="AK598" s="1391"/>
      <c r="BA598" s="4" t="s">
        <v>165</v>
      </c>
      <c r="BB598" s="3"/>
      <c r="BC598" s="3"/>
      <c r="BD598" s="3"/>
      <c r="BE598" s="1416">
        <f t="shared" si="1"/>
        <v>0</v>
      </c>
      <c r="BF598" s="1417"/>
      <c r="BG598" s="1473">
        <f t="shared" si="2"/>
        <v>0</v>
      </c>
      <c r="BH598" s="1474"/>
      <c r="BI598" s="1416">
        <f t="shared" si="3"/>
        <v>0</v>
      </c>
      <c r="BJ598" s="1417"/>
      <c r="BK598" s="1473">
        <f t="shared" si="4"/>
        <v>0</v>
      </c>
      <c r="BL598" s="1474"/>
      <c r="BM598" s="3"/>
      <c r="BN598" s="1475">
        <f t="shared" si="5"/>
        <v>0</v>
      </c>
      <c r="BO598" s="1476"/>
      <c r="BP598" s="1476"/>
      <c r="BQ598" s="1476"/>
      <c r="BR598" s="1477"/>
      <c r="BS598" s="1392">
        <f t="shared" si="6"/>
        <v>11</v>
      </c>
      <c r="BT598" s="1392"/>
      <c r="BU598" s="1392"/>
      <c r="BV598" s="1392"/>
      <c r="BW598" s="1392"/>
      <c r="BX598" s="1392">
        <f t="shared" si="7"/>
        <v>0</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711">
        <f t="shared" si="11"/>
        <v>0</v>
      </c>
      <c r="CT598" s="1711"/>
      <c r="CU598" s="1711"/>
      <c r="CV598" s="1711"/>
      <c r="CW598" s="1711"/>
      <c r="CX598" s="1711">
        <f t="shared" si="12"/>
        <v>0</v>
      </c>
      <c r="CY598" s="1711"/>
      <c r="CZ598" s="1711"/>
      <c r="DA598" s="1711"/>
      <c r="DB598" s="1711"/>
      <c r="DC598" s="1711">
        <f t="shared" si="13"/>
        <v>0</v>
      </c>
      <c r="DD598" s="1711"/>
      <c r="DE598" s="1711"/>
      <c r="DF598" s="1711"/>
      <c r="DG598" s="1711"/>
      <c r="DH598" s="1711">
        <f t="shared" si="14"/>
        <v>0</v>
      </c>
      <c r="DI598" s="1711"/>
      <c r="DJ598" s="1711"/>
      <c r="DK598" s="1711"/>
      <c r="DL598" s="1711"/>
      <c r="DM598" s="1711">
        <f t="shared" si="15"/>
        <v>0</v>
      </c>
      <c r="DN598" s="1711"/>
      <c r="DO598" s="1711"/>
      <c r="DP598" s="1711"/>
      <c r="DQ598" s="1711"/>
      <c r="DR598" s="1711">
        <f t="shared" si="16"/>
        <v>0</v>
      </c>
      <c r="DS598" s="1711"/>
      <c r="DT598" s="1711"/>
      <c r="DU598" s="1711"/>
      <c r="DV598" s="1711"/>
      <c r="DX598" s="1416" t="str">
        <f t="shared" si="17"/>
        <v xml:space="preserve"> </v>
      </c>
      <c r="DY598" s="1857"/>
      <c r="DZ598" s="1857"/>
      <c r="EA598" s="1857"/>
      <c r="EB598" s="1417"/>
      <c r="EC598" s="1416">
        <f t="shared" si="18"/>
        <v>1170</v>
      </c>
      <c r="ED598" s="1857"/>
      <c r="EE598" s="1857"/>
      <c r="EF598" s="1857"/>
      <c r="EG598" s="1417"/>
      <c r="EH598" s="1416" t="str">
        <f t="shared" si="19"/>
        <v xml:space="preserve"> </v>
      </c>
      <c r="EI598" s="1857"/>
      <c r="EJ598" s="1857"/>
      <c r="EK598" s="1857"/>
      <c r="EL598" s="1417"/>
      <c r="EM598" s="1416" t="str">
        <f t="shared" si="20"/>
        <v xml:space="preserve"> </v>
      </c>
      <c r="EN598" s="1857"/>
      <c r="EO598" s="1857"/>
      <c r="EP598" s="1857"/>
      <c r="EQ598" s="1417"/>
      <c r="ER598" s="1416" t="str">
        <f t="shared" si="21"/>
        <v xml:space="preserve"> </v>
      </c>
      <c r="ES598" s="1857"/>
      <c r="ET598" s="1857"/>
      <c r="EU598" s="1857"/>
      <c r="EV598" s="1417"/>
      <c r="EW598" s="1416" t="str">
        <f t="shared" si="22"/>
        <v xml:space="preserve"> </v>
      </c>
      <c r="EX598" s="1857"/>
      <c r="EY598" s="1857"/>
      <c r="EZ598" s="1857"/>
      <c r="FA598" s="1417"/>
    </row>
    <row r="599" spans="1:157" ht="12.95" customHeight="1">
      <c r="A599" s="22"/>
      <c r="B599" t="s">
        <v>590</v>
      </c>
      <c r="G599" s="1391"/>
      <c r="H599" s="1391"/>
      <c r="I599" s="1391"/>
      <c r="J599" s="1391"/>
      <c r="K599" s="1391"/>
      <c r="L599" s="1391"/>
      <c r="M599" s="1391"/>
      <c r="N599" s="1391"/>
      <c r="O599" s="1391"/>
      <c r="P599" s="1391"/>
      <c r="Q599" s="1391"/>
      <c r="R599" s="1391"/>
      <c r="T599" s="22"/>
      <c r="U599" t="s">
        <v>590</v>
      </c>
      <c r="Z599" s="1374"/>
      <c r="AA599" s="1374"/>
      <c r="AB599" s="1374"/>
      <c r="AC599" s="1374"/>
      <c r="AD599" s="1374"/>
      <c r="AE599" s="1374"/>
      <c r="AF599" s="1374"/>
      <c r="AG599" s="1374"/>
      <c r="AH599" s="1374"/>
      <c r="AI599" s="1374"/>
      <c r="AJ599" s="1374"/>
      <c r="AK599" s="1374"/>
      <c r="BA599" s="4" t="s">
        <v>166</v>
      </c>
      <c r="BB599" s="3"/>
      <c r="BC599" s="3"/>
      <c r="BD599" s="3"/>
      <c r="BE599" s="1416">
        <f t="shared" si="1"/>
        <v>0</v>
      </c>
      <c r="BF599" s="1417"/>
      <c r="BG599" s="1473">
        <f t="shared" si="2"/>
        <v>0</v>
      </c>
      <c r="BH599" s="1474"/>
      <c r="BI599" s="1416">
        <f t="shared" si="3"/>
        <v>0</v>
      </c>
      <c r="BJ599" s="1417"/>
      <c r="BK599" s="1473">
        <f t="shared" si="4"/>
        <v>0</v>
      </c>
      <c r="BL599" s="1474"/>
      <c r="BM599" s="3"/>
      <c r="BN599" s="1475">
        <f t="shared" si="5"/>
        <v>0</v>
      </c>
      <c r="BO599" s="1476"/>
      <c r="BP599" s="1476"/>
      <c r="BQ599" s="1476"/>
      <c r="BR599" s="1477"/>
      <c r="BS599" s="1392">
        <f t="shared" si="6"/>
        <v>19</v>
      </c>
      <c r="BT599" s="1392"/>
      <c r="BU599" s="1392"/>
      <c r="BV599" s="1392"/>
      <c r="BW599" s="1392"/>
      <c r="BX599" s="1392">
        <f t="shared" si="7"/>
        <v>0</v>
      </c>
      <c r="BY599" s="1392"/>
      <c r="BZ599" s="1392"/>
      <c r="CA599" s="1392"/>
      <c r="CB599" s="1392"/>
      <c r="CC599" s="1392">
        <f t="shared" si="8"/>
        <v>0</v>
      </c>
      <c r="CD599" s="1392"/>
      <c r="CE599" s="1392"/>
      <c r="CF599" s="1392"/>
      <c r="CG599" s="1392"/>
      <c r="CH599" s="1392">
        <f t="shared" si="9"/>
        <v>0</v>
      </c>
      <c r="CI599" s="1392"/>
      <c r="CJ599" s="1392"/>
      <c r="CK599" s="1392"/>
      <c r="CL599" s="1392"/>
      <c r="CM599" s="1392">
        <f t="shared" si="10"/>
        <v>0</v>
      </c>
      <c r="CN599" s="1392"/>
      <c r="CO599" s="1392"/>
      <c r="CP599" s="1392"/>
      <c r="CQ599" s="1392"/>
      <c r="CR599" s="6"/>
      <c r="CS599" s="1711">
        <f t="shared" si="11"/>
        <v>0</v>
      </c>
      <c r="CT599" s="1711"/>
      <c r="CU599" s="1711"/>
      <c r="CV599" s="1711"/>
      <c r="CW599" s="1711"/>
      <c r="CX599" s="1711">
        <f t="shared" si="12"/>
        <v>0</v>
      </c>
      <c r="CY599" s="1711"/>
      <c r="CZ599" s="1711"/>
      <c r="DA599" s="1711"/>
      <c r="DB599" s="1711"/>
      <c r="DC599" s="1711">
        <f t="shared" si="13"/>
        <v>0</v>
      </c>
      <c r="DD599" s="1711"/>
      <c r="DE599" s="1711"/>
      <c r="DF599" s="1711"/>
      <c r="DG599" s="1711"/>
      <c r="DH599" s="1711">
        <f t="shared" si="14"/>
        <v>0</v>
      </c>
      <c r="DI599" s="1711"/>
      <c r="DJ599" s="1711"/>
      <c r="DK599" s="1711"/>
      <c r="DL599" s="1711"/>
      <c r="DM599" s="1711">
        <f t="shared" si="15"/>
        <v>0</v>
      </c>
      <c r="DN599" s="1711"/>
      <c r="DO599" s="1711"/>
      <c r="DP599" s="1711"/>
      <c r="DQ599" s="1711"/>
      <c r="DR599" s="1711">
        <f t="shared" si="16"/>
        <v>0</v>
      </c>
      <c r="DS599" s="1711"/>
      <c r="DT599" s="1711"/>
      <c r="DU599" s="1711"/>
      <c r="DV599" s="1711"/>
      <c r="DX599" s="1416" t="str">
        <f t="shared" si="17"/>
        <v xml:space="preserve"> </v>
      </c>
      <c r="DY599" s="1857"/>
      <c r="DZ599" s="1857"/>
      <c r="EA599" s="1857"/>
      <c r="EB599" s="1417"/>
      <c r="EC599" s="1416">
        <f t="shared" si="18"/>
        <v>1393</v>
      </c>
      <c r="ED599" s="1857"/>
      <c r="EE599" s="1857"/>
      <c r="EF599" s="1857"/>
      <c r="EG599" s="1417"/>
      <c r="EH599" s="1416" t="str">
        <f t="shared" si="19"/>
        <v xml:space="preserve"> </v>
      </c>
      <c r="EI599" s="1857"/>
      <c r="EJ599" s="1857"/>
      <c r="EK599" s="1857"/>
      <c r="EL599" s="1417"/>
      <c r="EM599" s="1416" t="str">
        <f t="shared" si="20"/>
        <v xml:space="preserve"> </v>
      </c>
      <c r="EN599" s="1857"/>
      <c r="EO599" s="1857"/>
      <c r="EP599" s="1857"/>
      <c r="EQ599" s="1417"/>
      <c r="ER599" s="1416" t="str">
        <f t="shared" si="21"/>
        <v xml:space="preserve"> </v>
      </c>
      <c r="ES599" s="1857"/>
      <c r="ET599" s="1857"/>
      <c r="EU599" s="1857"/>
      <c r="EV599" s="1417"/>
      <c r="EW599" s="1416" t="str">
        <f t="shared" si="22"/>
        <v xml:space="preserve"> </v>
      </c>
      <c r="EX599" s="1857"/>
      <c r="EY599" s="1857"/>
      <c r="EZ599" s="1857"/>
      <c r="FA599" s="1417"/>
    </row>
    <row r="600" spans="1:157" ht="12.95" customHeight="1">
      <c r="A600" s="22"/>
      <c r="B600" t="s">
        <v>17</v>
      </c>
      <c r="G600" s="1391"/>
      <c r="H600" s="1391"/>
      <c r="I600" s="1391"/>
      <c r="J600" s="1391"/>
      <c r="K600" s="1391"/>
      <c r="L600" s="1391"/>
      <c r="M600" s="1391"/>
      <c r="N600" s="1391"/>
      <c r="O600" s="1391"/>
      <c r="P600" s="1391"/>
      <c r="Q600" s="1391"/>
      <c r="R600" s="1391"/>
      <c r="T600" s="22"/>
      <c r="U600" t="s">
        <v>17</v>
      </c>
      <c r="Z600" s="1374"/>
      <c r="AA600" s="1374"/>
      <c r="AB600" s="1374"/>
      <c r="AC600" s="1374"/>
      <c r="AD600" s="1374"/>
      <c r="AE600" s="1374"/>
      <c r="AF600" s="1374"/>
      <c r="AG600" s="1374"/>
      <c r="AH600" s="1374"/>
      <c r="AI600" s="1374"/>
      <c r="AJ600" s="1374"/>
      <c r="AK600" s="1374"/>
      <c r="BA600" s="4" t="s">
        <v>30</v>
      </c>
      <c r="BB600" s="3"/>
      <c r="BC600" s="3"/>
      <c r="BD600" s="3"/>
      <c r="BE600" s="1416">
        <f t="shared" si="1"/>
        <v>0</v>
      </c>
      <c r="BF600" s="1417"/>
      <c r="BG600" s="1473">
        <f t="shared" si="2"/>
        <v>0</v>
      </c>
      <c r="BH600" s="1474"/>
      <c r="BI600" s="1416">
        <f t="shared" si="3"/>
        <v>0</v>
      </c>
      <c r="BJ600" s="1417"/>
      <c r="BK600" s="1473">
        <f t="shared" si="4"/>
        <v>0</v>
      </c>
      <c r="BL600" s="1474"/>
      <c r="BM600" s="3"/>
      <c r="BN600" s="1475">
        <f t="shared" si="5"/>
        <v>0</v>
      </c>
      <c r="BO600" s="1476"/>
      <c r="BP600" s="1476"/>
      <c r="BQ600" s="1476"/>
      <c r="BR600" s="1477"/>
      <c r="BS600" s="1392">
        <f t="shared" si="6"/>
        <v>0</v>
      </c>
      <c r="BT600" s="1392"/>
      <c r="BU600" s="1392"/>
      <c r="BV600" s="1392"/>
      <c r="BW600" s="1392"/>
      <c r="BX600" s="1392">
        <f t="shared" si="7"/>
        <v>0</v>
      </c>
      <c r="BY600" s="1392"/>
      <c r="BZ600" s="1392"/>
      <c r="CA600" s="1392"/>
      <c r="CB600" s="1392"/>
      <c r="CC600" s="1392">
        <f t="shared" si="8"/>
        <v>0</v>
      </c>
      <c r="CD600" s="1392"/>
      <c r="CE600" s="1392"/>
      <c r="CF600" s="1392"/>
      <c r="CG600" s="1392"/>
      <c r="CH600" s="1392">
        <f t="shared" si="9"/>
        <v>0</v>
      </c>
      <c r="CI600" s="1392"/>
      <c r="CJ600" s="1392"/>
      <c r="CK600" s="1392"/>
      <c r="CL600" s="1392"/>
      <c r="CM600" s="1392">
        <f t="shared" si="10"/>
        <v>0</v>
      </c>
      <c r="CN600" s="1392"/>
      <c r="CO600" s="1392"/>
      <c r="CP600" s="1392"/>
      <c r="CQ600" s="1392"/>
      <c r="CR600" s="6"/>
      <c r="CS600" s="1711">
        <f t="shared" si="11"/>
        <v>0</v>
      </c>
      <c r="CT600" s="1711"/>
      <c r="CU600" s="1711"/>
      <c r="CV600" s="1711"/>
      <c r="CW600" s="1711"/>
      <c r="CX600" s="1711">
        <f t="shared" si="12"/>
        <v>0</v>
      </c>
      <c r="CY600" s="1711"/>
      <c r="CZ600" s="1711"/>
      <c r="DA600" s="1711"/>
      <c r="DB600" s="1711"/>
      <c r="DC600" s="1711">
        <f t="shared" si="13"/>
        <v>0</v>
      </c>
      <c r="DD600" s="1711"/>
      <c r="DE600" s="1711"/>
      <c r="DF600" s="1711"/>
      <c r="DG600" s="1711"/>
      <c r="DH600" s="1711">
        <f t="shared" si="14"/>
        <v>0</v>
      </c>
      <c r="DI600" s="1711"/>
      <c r="DJ600" s="1711"/>
      <c r="DK600" s="1711"/>
      <c r="DL600" s="1711"/>
      <c r="DM600" s="1711">
        <f t="shared" si="15"/>
        <v>0</v>
      </c>
      <c r="DN600" s="1711"/>
      <c r="DO600" s="1711"/>
      <c r="DP600" s="1711"/>
      <c r="DQ600" s="1711"/>
      <c r="DR600" s="1711">
        <f t="shared" si="16"/>
        <v>0</v>
      </c>
      <c r="DS600" s="1711"/>
      <c r="DT600" s="1711"/>
      <c r="DU600" s="1711"/>
      <c r="DV600" s="1711"/>
      <c r="DX600" s="1416" t="str">
        <f t="shared" si="17"/>
        <v xml:space="preserve"> </v>
      </c>
      <c r="DY600" s="1857"/>
      <c r="DZ600" s="1857"/>
      <c r="EA600" s="1857"/>
      <c r="EB600" s="1417"/>
      <c r="EC600" s="1416" t="str">
        <f t="shared" si="18"/>
        <v xml:space="preserve"> </v>
      </c>
      <c r="ED600" s="1857"/>
      <c r="EE600" s="1857"/>
      <c r="EF600" s="1857"/>
      <c r="EG600" s="1417"/>
      <c r="EH600" s="1416" t="str">
        <f t="shared" si="19"/>
        <v xml:space="preserve"> </v>
      </c>
      <c r="EI600" s="1857"/>
      <c r="EJ600" s="1857"/>
      <c r="EK600" s="1857"/>
      <c r="EL600" s="1417"/>
      <c r="EM600" s="1416" t="str">
        <f t="shared" si="20"/>
        <v xml:space="preserve"> </v>
      </c>
      <c r="EN600" s="1857"/>
      <c r="EO600" s="1857"/>
      <c r="EP600" s="1857"/>
      <c r="EQ600" s="1417"/>
      <c r="ER600" s="1416" t="str">
        <f t="shared" si="21"/>
        <v xml:space="preserve"> </v>
      </c>
      <c r="ES600" s="1857"/>
      <c r="ET600" s="1857"/>
      <c r="EU600" s="1857"/>
      <c r="EV600" s="1417"/>
      <c r="EW600" s="1416" t="str">
        <f t="shared" si="22"/>
        <v xml:space="preserve"> </v>
      </c>
      <c r="EX600" s="1857"/>
      <c r="EY600" s="1857"/>
      <c r="EZ600" s="1857"/>
      <c r="FA600" s="1417"/>
    </row>
    <row r="601" spans="1:157" ht="12.95" customHeight="1">
      <c r="A601" s="22"/>
      <c r="B601" t="s">
        <v>318</v>
      </c>
      <c r="G601" s="1439"/>
      <c r="H601" s="1439"/>
      <c r="I601" s="1439"/>
      <c r="J601" s="1439"/>
      <c r="K601" s="1439"/>
      <c r="L601" s="1439"/>
      <c r="O601" s="33" t="s">
        <v>208</v>
      </c>
      <c r="P601" s="1422"/>
      <c r="Q601" s="1422"/>
      <c r="R601" s="1422"/>
      <c r="T601" s="22"/>
      <c r="U601" t="s">
        <v>318</v>
      </c>
      <c r="Z601" s="1439"/>
      <c r="AA601" s="1439"/>
      <c r="AB601" s="1439"/>
      <c r="AC601" s="1439"/>
      <c r="AD601" s="1439"/>
      <c r="AE601" s="1439"/>
      <c r="AH601" s="33" t="s">
        <v>208</v>
      </c>
      <c r="AI601" s="1422"/>
      <c r="AJ601" s="1422"/>
      <c r="AK601" s="1422"/>
      <c r="AZ601" s="3"/>
      <c r="BA601" s="3"/>
      <c r="BB601" s="3"/>
      <c r="BC601" s="3"/>
      <c r="BD601" s="3"/>
      <c r="BE601" s="1416">
        <f t="shared" si="1"/>
        <v>0</v>
      </c>
      <c r="BF601" s="1417"/>
      <c r="BG601" s="1473">
        <f t="shared" si="2"/>
        <v>0</v>
      </c>
      <c r="BH601" s="1474"/>
      <c r="BI601" s="1416">
        <f t="shared" si="3"/>
        <v>1</v>
      </c>
      <c r="BJ601" s="1417"/>
      <c r="BK601" s="1473">
        <f t="shared" si="4"/>
        <v>7</v>
      </c>
      <c r="BL601" s="1474"/>
      <c r="BM601" s="3"/>
      <c r="BN601" s="1475">
        <f t="shared" si="5"/>
        <v>0</v>
      </c>
      <c r="BO601" s="1476"/>
      <c r="BP601" s="1476"/>
      <c r="BQ601" s="1476"/>
      <c r="BR601" s="1477"/>
      <c r="BS601" s="1392">
        <f t="shared" si="6"/>
        <v>0</v>
      </c>
      <c r="BT601" s="1392"/>
      <c r="BU601" s="1392"/>
      <c r="BV601" s="1392"/>
      <c r="BW601" s="1392"/>
      <c r="BX601" s="1392">
        <f t="shared" si="7"/>
        <v>7</v>
      </c>
      <c r="BY601" s="1392"/>
      <c r="BZ601" s="1392"/>
      <c r="CA601" s="1392"/>
      <c r="CB601" s="1392"/>
      <c r="CC601" s="1392">
        <f t="shared" si="8"/>
        <v>0</v>
      </c>
      <c r="CD601" s="1392"/>
      <c r="CE601" s="1392"/>
      <c r="CF601" s="1392"/>
      <c r="CG601" s="1392"/>
      <c r="CH601" s="1392">
        <f t="shared" si="9"/>
        <v>0</v>
      </c>
      <c r="CI601" s="1392"/>
      <c r="CJ601" s="1392"/>
      <c r="CK601" s="1392"/>
      <c r="CL601" s="1392"/>
      <c r="CM601" s="1392">
        <f t="shared" si="10"/>
        <v>0</v>
      </c>
      <c r="CN601" s="1392"/>
      <c r="CO601" s="1392"/>
      <c r="CP601" s="1392"/>
      <c r="CQ601" s="1392"/>
      <c r="CR601" s="6"/>
      <c r="CS601" s="1711">
        <f t="shared" si="11"/>
        <v>0</v>
      </c>
      <c r="CT601" s="1711"/>
      <c r="CU601" s="1711"/>
      <c r="CV601" s="1711"/>
      <c r="CW601" s="1711"/>
      <c r="CX601" s="1711">
        <f t="shared" si="12"/>
        <v>0</v>
      </c>
      <c r="CY601" s="1711"/>
      <c r="CZ601" s="1711"/>
      <c r="DA601" s="1711"/>
      <c r="DB601" s="1711"/>
      <c r="DC601" s="1711">
        <f t="shared" si="13"/>
        <v>7</v>
      </c>
      <c r="DD601" s="1711"/>
      <c r="DE601" s="1711"/>
      <c r="DF601" s="1711"/>
      <c r="DG601" s="1711"/>
      <c r="DH601" s="1711">
        <f t="shared" si="14"/>
        <v>0</v>
      </c>
      <c r="DI601" s="1711"/>
      <c r="DJ601" s="1711"/>
      <c r="DK601" s="1711"/>
      <c r="DL601" s="1711"/>
      <c r="DM601" s="1711">
        <f t="shared" si="15"/>
        <v>0</v>
      </c>
      <c r="DN601" s="1711"/>
      <c r="DO601" s="1711"/>
      <c r="DP601" s="1711"/>
      <c r="DQ601" s="1711"/>
      <c r="DR601" s="1711">
        <f t="shared" si="16"/>
        <v>0</v>
      </c>
      <c r="DS601" s="1711"/>
      <c r="DT601" s="1711"/>
      <c r="DU601" s="1711"/>
      <c r="DV601" s="1711"/>
      <c r="DX601" s="1416" t="str">
        <f t="shared" si="17"/>
        <v xml:space="preserve"> </v>
      </c>
      <c r="DY601" s="1857"/>
      <c r="DZ601" s="1857"/>
      <c r="EA601" s="1857"/>
      <c r="EB601" s="1417"/>
      <c r="EC601" s="1416" t="str">
        <f t="shared" si="18"/>
        <v xml:space="preserve"> </v>
      </c>
      <c r="ED601" s="1857"/>
      <c r="EE601" s="1857"/>
      <c r="EF601" s="1857"/>
      <c r="EG601" s="1417"/>
      <c r="EH601" s="1416">
        <f t="shared" si="19"/>
        <v>598</v>
      </c>
      <c r="EI601" s="1857"/>
      <c r="EJ601" s="1857"/>
      <c r="EK601" s="1857"/>
      <c r="EL601" s="1417"/>
      <c r="EM601" s="1416" t="str">
        <f t="shared" si="20"/>
        <v xml:space="preserve"> </v>
      </c>
      <c r="EN601" s="1857"/>
      <c r="EO601" s="1857"/>
      <c r="EP601" s="1857"/>
      <c r="EQ601" s="1417"/>
      <c r="ER601" s="1416" t="str">
        <f t="shared" si="21"/>
        <v xml:space="preserve"> </v>
      </c>
      <c r="ES601" s="1857"/>
      <c r="ET601" s="1857"/>
      <c r="EU601" s="1857"/>
      <c r="EV601" s="1417"/>
      <c r="EW601" s="1416" t="str">
        <f t="shared" si="22"/>
        <v xml:space="preserve"> </v>
      </c>
      <c r="EX601" s="1857"/>
      <c r="EY601" s="1857"/>
      <c r="EZ601" s="1857"/>
      <c r="FA601" s="1417"/>
    </row>
    <row r="602" spans="1:157" ht="12.95" customHeight="1">
      <c r="A602" s="22"/>
      <c r="B602" t="s">
        <v>18</v>
      </c>
      <c r="H602" s="1391"/>
      <c r="I602" s="1391"/>
      <c r="J602" s="1391"/>
      <c r="K602" s="1391"/>
      <c r="L602" s="1391"/>
      <c r="M602" s="1391"/>
      <c r="N602" s="1391"/>
      <c r="O602" s="1391"/>
      <c r="P602" s="1391"/>
      <c r="Q602" s="1391"/>
      <c r="R602" s="1391"/>
      <c r="T602" s="22"/>
      <c r="U602" t="s">
        <v>18</v>
      </c>
      <c r="AA602" s="1391"/>
      <c r="AB602" s="1391"/>
      <c r="AC602" s="1391"/>
      <c r="AD602" s="1391"/>
      <c r="AE602" s="1391"/>
      <c r="AF602" s="1391"/>
      <c r="AG602" s="1391"/>
      <c r="AH602" s="1391"/>
      <c r="AI602" s="1391"/>
      <c r="AJ602" s="1391"/>
      <c r="AK602" s="1391"/>
      <c r="AZ602" s="3"/>
      <c r="BA602" s="3"/>
      <c r="BB602" s="3"/>
      <c r="BC602" s="3"/>
      <c r="BD602" s="3"/>
      <c r="BE602" s="1416">
        <f t="shared" si="1"/>
        <v>1</v>
      </c>
      <c r="BF602" s="1417"/>
      <c r="BG602" s="1473">
        <f t="shared" si="2"/>
        <v>12</v>
      </c>
      <c r="BH602" s="1474"/>
      <c r="BI602" s="1416">
        <f t="shared" si="3"/>
        <v>0</v>
      </c>
      <c r="BJ602" s="1417"/>
      <c r="BK602" s="1473">
        <f t="shared" si="4"/>
        <v>0</v>
      </c>
      <c r="BL602" s="1474"/>
      <c r="BM602" s="3"/>
      <c r="BN602" s="1475">
        <f t="shared" si="5"/>
        <v>0</v>
      </c>
      <c r="BO602" s="1476"/>
      <c r="BP602" s="1476"/>
      <c r="BQ602" s="1476"/>
      <c r="BR602" s="1477"/>
      <c r="BS602" s="1392">
        <f t="shared" si="6"/>
        <v>0</v>
      </c>
      <c r="BT602" s="1392"/>
      <c r="BU602" s="1392"/>
      <c r="BV602" s="1392"/>
      <c r="BW602" s="1392"/>
      <c r="BX602" s="1392">
        <f t="shared" si="7"/>
        <v>12</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711">
        <f t="shared" si="11"/>
        <v>0</v>
      </c>
      <c r="CT602" s="1711"/>
      <c r="CU602" s="1711"/>
      <c r="CV602" s="1711"/>
      <c r="CW602" s="1711"/>
      <c r="CX602" s="1711">
        <f t="shared" si="12"/>
        <v>0</v>
      </c>
      <c r="CY602" s="1711"/>
      <c r="CZ602" s="1711"/>
      <c r="DA602" s="1711"/>
      <c r="DB602" s="1711"/>
      <c r="DC602" s="1711">
        <f t="shared" si="13"/>
        <v>0</v>
      </c>
      <c r="DD602" s="1711"/>
      <c r="DE602" s="1711"/>
      <c r="DF602" s="1711"/>
      <c r="DG602" s="1711"/>
      <c r="DH602" s="1711">
        <f t="shared" si="14"/>
        <v>0</v>
      </c>
      <c r="DI602" s="1711"/>
      <c r="DJ602" s="1711"/>
      <c r="DK602" s="1711"/>
      <c r="DL602" s="1711"/>
      <c r="DM602" s="1711">
        <f t="shared" si="15"/>
        <v>0</v>
      </c>
      <c r="DN602" s="1711"/>
      <c r="DO602" s="1711"/>
      <c r="DP602" s="1711"/>
      <c r="DQ602" s="1711"/>
      <c r="DR602" s="1711">
        <f t="shared" si="16"/>
        <v>0</v>
      </c>
      <c r="DS602" s="1711"/>
      <c r="DT602" s="1711"/>
      <c r="DU602" s="1711"/>
      <c r="DV602" s="1711"/>
      <c r="DX602" s="1416" t="str">
        <f t="shared" si="17"/>
        <v xml:space="preserve"> </v>
      </c>
      <c r="DY602" s="1857"/>
      <c r="DZ602" s="1857"/>
      <c r="EA602" s="1857"/>
      <c r="EB602" s="1417"/>
      <c r="EC602" s="1416" t="str">
        <f t="shared" si="18"/>
        <v xml:space="preserve"> </v>
      </c>
      <c r="ED602" s="1857"/>
      <c r="EE602" s="1857"/>
      <c r="EF602" s="1857"/>
      <c r="EG602" s="1417"/>
      <c r="EH602" s="1416">
        <f t="shared" si="19"/>
        <v>1134</v>
      </c>
      <c r="EI602" s="1857"/>
      <c r="EJ602" s="1857"/>
      <c r="EK602" s="1857"/>
      <c r="EL602" s="1417"/>
      <c r="EM602" s="1416" t="str">
        <f t="shared" si="20"/>
        <v xml:space="preserve"> </v>
      </c>
      <c r="EN602" s="1857"/>
      <c r="EO602" s="1857"/>
      <c r="EP602" s="1857"/>
      <c r="EQ602" s="1417"/>
      <c r="ER602" s="1416" t="str">
        <f t="shared" si="21"/>
        <v xml:space="preserve"> </v>
      </c>
      <c r="ES602" s="1857"/>
      <c r="ET602" s="1857"/>
      <c r="EU602" s="1857"/>
      <c r="EV602" s="1417"/>
      <c r="EW602" s="1416" t="str">
        <f t="shared" si="22"/>
        <v xml:space="preserve"> </v>
      </c>
      <c r="EX602" s="1857"/>
      <c r="EY602" s="1857"/>
      <c r="EZ602" s="1857"/>
      <c r="FA602" s="1417"/>
    </row>
    <row r="603" spans="1:157" ht="12.95" customHeight="1">
      <c r="A603" s="22"/>
      <c r="B603" t="s">
        <v>20</v>
      </c>
      <c r="N603" s="1378" t="s">
        <v>679</v>
      </c>
      <c r="O603" s="1378"/>
      <c r="T603" s="22"/>
      <c r="U603" t="s">
        <v>20</v>
      </c>
      <c r="AG603" s="1378" t="s">
        <v>679</v>
      </c>
      <c r="AH603" s="1378"/>
      <c r="AZ603" s="3"/>
      <c r="BA603" s="3"/>
      <c r="BB603" s="3"/>
      <c r="BC603" s="3"/>
      <c r="BD603" s="3"/>
      <c r="BE603" s="1416">
        <f t="shared" si="1"/>
        <v>0</v>
      </c>
      <c r="BF603" s="1417"/>
      <c r="BG603" s="1473">
        <f t="shared" si="2"/>
        <v>0</v>
      </c>
      <c r="BH603" s="1474"/>
      <c r="BI603" s="1416">
        <f t="shared" si="3"/>
        <v>0</v>
      </c>
      <c r="BJ603" s="1417"/>
      <c r="BK603" s="1473">
        <f t="shared" si="4"/>
        <v>0</v>
      </c>
      <c r="BL603" s="1474"/>
      <c r="BM603" s="3"/>
      <c r="BN603" s="1475">
        <f t="shared" si="5"/>
        <v>0</v>
      </c>
      <c r="BO603" s="1476"/>
      <c r="BP603" s="1476"/>
      <c r="BQ603" s="1476"/>
      <c r="BR603" s="1477"/>
      <c r="BS603" s="1392">
        <f t="shared" si="6"/>
        <v>0</v>
      </c>
      <c r="BT603" s="1392"/>
      <c r="BU603" s="1392"/>
      <c r="BV603" s="1392"/>
      <c r="BW603" s="1392"/>
      <c r="BX603" s="1392">
        <f t="shared" si="7"/>
        <v>24</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711">
        <f t="shared" si="11"/>
        <v>0</v>
      </c>
      <c r="CT603" s="1711"/>
      <c r="CU603" s="1711"/>
      <c r="CV603" s="1711"/>
      <c r="CW603" s="1711"/>
      <c r="CX603" s="1711">
        <f t="shared" si="12"/>
        <v>0</v>
      </c>
      <c r="CY603" s="1711"/>
      <c r="CZ603" s="1711"/>
      <c r="DA603" s="1711"/>
      <c r="DB603" s="1711"/>
      <c r="DC603" s="1711">
        <f t="shared" si="13"/>
        <v>0</v>
      </c>
      <c r="DD603" s="1711"/>
      <c r="DE603" s="1711"/>
      <c r="DF603" s="1711"/>
      <c r="DG603" s="1711"/>
      <c r="DH603" s="1711">
        <f t="shared" si="14"/>
        <v>0</v>
      </c>
      <c r="DI603" s="1711"/>
      <c r="DJ603" s="1711"/>
      <c r="DK603" s="1711"/>
      <c r="DL603" s="1711"/>
      <c r="DM603" s="1711">
        <f t="shared" si="15"/>
        <v>0</v>
      </c>
      <c r="DN603" s="1711"/>
      <c r="DO603" s="1711"/>
      <c r="DP603" s="1711"/>
      <c r="DQ603" s="1711"/>
      <c r="DR603" s="1711">
        <f t="shared" si="16"/>
        <v>0</v>
      </c>
      <c r="DS603" s="1711"/>
      <c r="DT603" s="1711"/>
      <c r="DU603" s="1711"/>
      <c r="DV603" s="1711"/>
      <c r="DX603" s="1416" t="str">
        <f t="shared" si="17"/>
        <v xml:space="preserve"> </v>
      </c>
      <c r="DY603" s="1857"/>
      <c r="DZ603" s="1857"/>
      <c r="EA603" s="1857"/>
      <c r="EB603" s="1417"/>
      <c r="EC603" s="1416" t="str">
        <f t="shared" si="18"/>
        <v xml:space="preserve"> </v>
      </c>
      <c r="ED603" s="1857"/>
      <c r="EE603" s="1857"/>
      <c r="EF603" s="1857"/>
      <c r="EG603" s="1417"/>
      <c r="EH603" s="1416">
        <f t="shared" si="19"/>
        <v>1402</v>
      </c>
      <c r="EI603" s="1857"/>
      <c r="EJ603" s="1857"/>
      <c r="EK603" s="1857"/>
      <c r="EL603" s="1417"/>
      <c r="EM603" s="1416" t="str">
        <f t="shared" si="20"/>
        <v xml:space="preserve"> </v>
      </c>
      <c r="EN603" s="1857"/>
      <c r="EO603" s="1857"/>
      <c r="EP603" s="1857"/>
      <c r="EQ603" s="1417"/>
      <c r="ER603" s="1416" t="str">
        <f t="shared" si="21"/>
        <v xml:space="preserve"> </v>
      </c>
      <c r="ES603" s="1857"/>
      <c r="ET603" s="1857"/>
      <c r="EU603" s="1857"/>
      <c r="EV603" s="1417"/>
      <c r="EW603" s="1416" t="str">
        <f t="shared" si="22"/>
        <v xml:space="preserve"> </v>
      </c>
      <c r="EX603" s="1857"/>
      <c r="EY603" s="1857"/>
      <c r="EZ603" s="1857"/>
      <c r="FA603" s="141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6">
        <f t="shared" si="1"/>
        <v>0</v>
      </c>
      <c r="BF604" s="1417"/>
      <c r="BG604" s="1473">
        <f t="shared" si="2"/>
        <v>0</v>
      </c>
      <c r="BH604" s="1474"/>
      <c r="BI604" s="1416">
        <f t="shared" si="3"/>
        <v>0</v>
      </c>
      <c r="BJ604" s="1417"/>
      <c r="BK604" s="1473">
        <f t="shared" si="4"/>
        <v>0</v>
      </c>
      <c r="BL604" s="1474"/>
      <c r="BM604" s="3"/>
      <c r="BN604" s="1475">
        <f t="shared" si="5"/>
        <v>0</v>
      </c>
      <c r="BO604" s="1476"/>
      <c r="BP604" s="1476"/>
      <c r="BQ604" s="1476"/>
      <c r="BR604" s="1477"/>
      <c r="BS604" s="1392">
        <f t="shared" si="6"/>
        <v>0</v>
      </c>
      <c r="BT604" s="1392"/>
      <c r="BU604" s="1392"/>
      <c r="BV604" s="1392"/>
      <c r="BW604" s="1392"/>
      <c r="BX604" s="1392">
        <f t="shared" si="7"/>
        <v>34</v>
      </c>
      <c r="BY604" s="1392"/>
      <c r="BZ604" s="1392"/>
      <c r="CA604" s="1392"/>
      <c r="CB604" s="1392"/>
      <c r="CC604" s="1392">
        <f t="shared" si="8"/>
        <v>0</v>
      </c>
      <c r="CD604" s="1392"/>
      <c r="CE604" s="1392"/>
      <c r="CF604" s="1392"/>
      <c r="CG604" s="1392"/>
      <c r="CH604" s="1392">
        <f t="shared" si="9"/>
        <v>0</v>
      </c>
      <c r="CI604" s="1392"/>
      <c r="CJ604" s="1392"/>
      <c r="CK604" s="1392"/>
      <c r="CL604" s="1392"/>
      <c r="CM604" s="1392">
        <f t="shared" si="10"/>
        <v>0</v>
      </c>
      <c r="CN604" s="1392"/>
      <c r="CO604" s="1392"/>
      <c r="CP604" s="1392"/>
      <c r="CQ604" s="1392"/>
      <c r="CR604" s="6"/>
      <c r="CS604" s="1711">
        <f t="shared" si="11"/>
        <v>0</v>
      </c>
      <c r="CT604" s="1711"/>
      <c r="CU604" s="1711"/>
      <c r="CV604" s="1711"/>
      <c r="CW604" s="1711"/>
      <c r="CX604" s="1711">
        <f t="shared" si="12"/>
        <v>0</v>
      </c>
      <c r="CY604" s="1711"/>
      <c r="CZ604" s="1711"/>
      <c r="DA604" s="1711"/>
      <c r="DB604" s="1711"/>
      <c r="DC604" s="1711">
        <f t="shared" si="13"/>
        <v>0</v>
      </c>
      <c r="DD604" s="1711"/>
      <c r="DE604" s="1711"/>
      <c r="DF604" s="1711"/>
      <c r="DG604" s="1711"/>
      <c r="DH604" s="1711">
        <f t="shared" si="14"/>
        <v>0</v>
      </c>
      <c r="DI604" s="1711"/>
      <c r="DJ604" s="1711"/>
      <c r="DK604" s="1711"/>
      <c r="DL604" s="1711"/>
      <c r="DM604" s="1711">
        <f t="shared" si="15"/>
        <v>0</v>
      </c>
      <c r="DN604" s="1711"/>
      <c r="DO604" s="1711"/>
      <c r="DP604" s="1711"/>
      <c r="DQ604" s="1711"/>
      <c r="DR604" s="1711">
        <f t="shared" si="16"/>
        <v>0</v>
      </c>
      <c r="DS604" s="1711"/>
      <c r="DT604" s="1711"/>
      <c r="DU604" s="1711"/>
      <c r="DV604" s="1711"/>
      <c r="DX604" s="1416" t="str">
        <f t="shared" si="17"/>
        <v xml:space="preserve"> </v>
      </c>
      <c r="DY604" s="1857"/>
      <c r="DZ604" s="1857"/>
      <c r="EA604" s="1857"/>
      <c r="EB604" s="1417"/>
      <c r="EC604" s="1416" t="str">
        <f t="shared" si="18"/>
        <v xml:space="preserve"> </v>
      </c>
      <c r="ED604" s="1857"/>
      <c r="EE604" s="1857"/>
      <c r="EF604" s="1857"/>
      <c r="EG604" s="1417"/>
      <c r="EH604" s="1416">
        <f t="shared" si="19"/>
        <v>1670</v>
      </c>
      <c r="EI604" s="1857"/>
      <c r="EJ604" s="1857"/>
      <c r="EK604" s="1857"/>
      <c r="EL604" s="1417"/>
      <c r="EM604" s="1416" t="str">
        <f t="shared" si="20"/>
        <v xml:space="preserve"> </v>
      </c>
      <c r="EN604" s="1857"/>
      <c r="EO604" s="1857"/>
      <c r="EP604" s="1857"/>
      <c r="EQ604" s="1417"/>
      <c r="ER604" s="1416" t="str">
        <f t="shared" si="21"/>
        <v xml:space="preserve"> </v>
      </c>
      <c r="ES604" s="1857"/>
      <c r="ET604" s="1857"/>
      <c r="EU604" s="1857"/>
      <c r="EV604" s="1417"/>
      <c r="EW604" s="1416" t="str">
        <f t="shared" si="22"/>
        <v xml:space="preserve"> </v>
      </c>
      <c r="EX604" s="1857"/>
      <c r="EY604" s="1857"/>
      <c r="EZ604" s="1857"/>
      <c r="FA604" s="1417"/>
    </row>
    <row r="605" spans="1:157" s="4" customFormat="1" ht="12.95" customHeight="1">
      <c r="A605" s="55" t="s">
        <v>364</v>
      </c>
      <c r="B605" t="s">
        <v>473</v>
      </c>
      <c r="C605"/>
      <c r="D605"/>
      <c r="E605"/>
      <c r="F605"/>
      <c r="G605" s="1518">
        <f>C560</f>
        <v>0</v>
      </c>
      <c r="H605" s="1518"/>
      <c r="I605" s="1518"/>
      <c r="J605" s="1518"/>
      <c r="K605" s="1518"/>
      <c r="L605" s="1518"/>
      <c r="M605" s="1518"/>
      <c r="N605" s="1518"/>
      <c r="O605" s="1518"/>
      <c r="P605" s="1518"/>
      <c r="Q605" s="1518"/>
      <c r="R605" s="1518"/>
      <c r="S605"/>
      <c r="T605" s="55" t="s">
        <v>365</v>
      </c>
      <c r="U605" t="s">
        <v>473</v>
      </c>
      <c r="V605"/>
      <c r="W605"/>
      <c r="X605"/>
      <c r="Y605"/>
      <c r="Z605" s="1518">
        <f>C561</f>
        <v>0</v>
      </c>
      <c r="AA605" s="1518"/>
      <c r="AB605" s="1518"/>
      <c r="AC605" s="1518"/>
      <c r="AD605" s="1518"/>
      <c r="AE605" s="1518"/>
      <c r="AF605" s="1518"/>
      <c r="AG605" s="1518"/>
      <c r="AH605" s="1518"/>
      <c r="AI605" s="1518"/>
      <c r="AJ605" s="1518"/>
      <c r="AK605" s="1518"/>
      <c r="AL605"/>
      <c r="AM605"/>
      <c r="AN605"/>
      <c r="AO605"/>
      <c r="AP605"/>
      <c r="AQ605"/>
      <c r="AR605"/>
      <c r="AS605"/>
      <c r="AT605"/>
      <c r="AU605"/>
      <c r="AV605"/>
      <c r="AW605"/>
      <c r="AX605"/>
      <c r="AY605"/>
      <c r="AZ605" s="3"/>
      <c r="BA605" s="3"/>
      <c r="BB605" s="3"/>
      <c r="BC605" s="3"/>
      <c r="BD605" s="3"/>
      <c r="BE605" s="1416">
        <f t="shared" si="1"/>
        <v>0</v>
      </c>
      <c r="BF605" s="1417"/>
      <c r="BG605" s="1473">
        <f t="shared" si="2"/>
        <v>0</v>
      </c>
      <c r="BH605" s="1474"/>
      <c r="BI605" s="1416">
        <f t="shared" si="3"/>
        <v>0</v>
      </c>
      <c r="BJ605" s="1417"/>
      <c r="BK605" s="1473">
        <f t="shared" si="4"/>
        <v>0</v>
      </c>
      <c r="BL605" s="1474"/>
      <c r="BM605" s="3"/>
      <c r="BN605" s="1475">
        <f t="shared" si="5"/>
        <v>0</v>
      </c>
      <c r="BO605" s="1476"/>
      <c r="BP605" s="1476"/>
      <c r="BQ605" s="1476"/>
      <c r="BR605" s="1477"/>
      <c r="BS605" s="1392">
        <f t="shared" si="6"/>
        <v>0</v>
      </c>
      <c r="BT605" s="1392"/>
      <c r="BU605" s="1392"/>
      <c r="BV605" s="1392"/>
      <c r="BW605" s="1392"/>
      <c r="BX605" s="1392">
        <f t="shared" si="7"/>
        <v>0</v>
      </c>
      <c r="BY605" s="1392"/>
      <c r="BZ605" s="1392"/>
      <c r="CA605" s="1392"/>
      <c r="CB605" s="1392"/>
      <c r="CC605" s="1392">
        <f t="shared" si="8"/>
        <v>0</v>
      </c>
      <c r="CD605" s="1392"/>
      <c r="CE605" s="1392"/>
      <c r="CF605" s="1392"/>
      <c r="CG605" s="1392"/>
      <c r="CH605" s="1392">
        <f t="shared" si="9"/>
        <v>0</v>
      </c>
      <c r="CI605" s="1392"/>
      <c r="CJ605" s="1392"/>
      <c r="CK605" s="1392"/>
      <c r="CL605" s="1392"/>
      <c r="CM605" s="1392">
        <f t="shared" si="10"/>
        <v>0</v>
      </c>
      <c r="CN605" s="1392"/>
      <c r="CO605" s="1392"/>
      <c r="CP605" s="1392"/>
      <c r="CQ605" s="1392"/>
      <c r="CR605" s="6"/>
      <c r="CS605" s="1711">
        <f t="shared" si="11"/>
        <v>0</v>
      </c>
      <c r="CT605" s="1711"/>
      <c r="CU605" s="1711"/>
      <c r="CV605" s="1711"/>
      <c r="CW605" s="1711"/>
      <c r="CX605" s="1711">
        <f t="shared" si="12"/>
        <v>0</v>
      </c>
      <c r="CY605" s="1711"/>
      <c r="CZ605" s="1711"/>
      <c r="DA605" s="1711"/>
      <c r="DB605" s="1711"/>
      <c r="DC605" s="1711">
        <f t="shared" si="13"/>
        <v>0</v>
      </c>
      <c r="DD605" s="1711"/>
      <c r="DE605" s="1711"/>
      <c r="DF605" s="1711"/>
      <c r="DG605" s="1711"/>
      <c r="DH605" s="1711">
        <f t="shared" si="14"/>
        <v>0</v>
      </c>
      <c r="DI605" s="1711"/>
      <c r="DJ605" s="1711"/>
      <c r="DK605" s="1711"/>
      <c r="DL605" s="1711"/>
      <c r="DM605" s="1711">
        <f t="shared" si="15"/>
        <v>0</v>
      </c>
      <c r="DN605" s="1711"/>
      <c r="DO605" s="1711"/>
      <c r="DP605" s="1711"/>
      <c r="DQ605" s="1711"/>
      <c r="DR605" s="1711">
        <f t="shared" si="16"/>
        <v>0</v>
      </c>
      <c r="DS605" s="1711"/>
      <c r="DT605" s="1711"/>
      <c r="DU605" s="1711"/>
      <c r="DV605" s="1711"/>
      <c r="DX605" s="1416" t="str">
        <f t="shared" si="17"/>
        <v xml:space="preserve"> </v>
      </c>
      <c r="DY605" s="1857"/>
      <c r="DZ605" s="1857"/>
      <c r="EA605" s="1857"/>
      <c r="EB605" s="1417"/>
      <c r="EC605" s="1416" t="str">
        <f t="shared" si="18"/>
        <v xml:space="preserve"> </v>
      </c>
      <c r="ED605" s="1857"/>
      <c r="EE605" s="1857"/>
      <c r="EF605" s="1857"/>
      <c r="EG605" s="1417"/>
      <c r="EH605" s="1416" t="str">
        <f t="shared" si="19"/>
        <v xml:space="preserve"> </v>
      </c>
      <c r="EI605" s="1857"/>
      <c r="EJ605" s="1857"/>
      <c r="EK605" s="1857"/>
      <c r="EL605" s="1417"/>
      <c r="EM605" s="1416" t="str">
        <f t="shared" si="20"/>
        <v xml:space="preserve"> </v>
      </c>
      <c r="EN605" s="1857"/>
      <c r="EO605" s="1857"/>
      <c r="EP605" s="1857"/>
      <c r="EQ605" s="1417"/>
      <c r="ER605" s="1416" t="str">
        <f t="shared" si="21"/>
        <v xml:space="preserve"> </v>
      </c>
      <c r="ES605" s="1857"/>
      <c r="ET605" s="1857"/>
      <c r="EU605" s="1857"/>
      <c r="EV605" s="1417"/>
      <c r="EW605" s="1416" t="str">
        <f t="shared" si="22"/>
        <v xml:space="preserve"> </v>
      </c>
      <c r="EX605" s="1857"/>
      <c r="EY605" s="1857"/>
      <c r="EZ605" s="1857"/>
      <c r="FA605" s="1417"/>
    </row>
    <row r="606" spans="1:157" s="4" customFormat="1" ht="12.95" customHeight="1">
      <c r="A606"/>
      <c r="B606" t="s">
        <v>86</v>
      </c>
      <c r="C606"/>
      <c r="D606"/>
      <c r="E606"/>
      <c r="F606"/>
      <c r="G606" s="1391"/>
      <c r="H606" s="1391"/>
      <c r="I606" s="1391"/>
      <c r="J606" s="1391"/>
      <c r="K606" s="1391"/>
      <c r="L606" s="1391"/>
      <c r="M606" s="1391"/>
      <c r="N606" s="1391"/>
      <c r="O606" s="1391"/>
      <c r="P606" s="1391"/>
      <c r="Q606" s="1391"/>
      <c r="R606" s="1391"/>
      <c r="S606"/>
      <c r="T606"/>
      <c r="U606" t="s">
        <v>86</v>
      </c>
      <c r="V606"/>
      <c r="W606"/>
      <c r="X606"/>
      <c r="Y606"/>
      <c r="Z606" s="1391"/>
      <c r="AA606" s="1391"/>
      <c r="AB606" s="1391"/>
      <c r="AC606" s="1391"/>
      <c r="AD606" s="1391"/>
      <c r="AE606" s="1391"/>
      <c r="AF606" s="1391"/>
      <c r="AG606" s="1391"/>
      <c r="AH606" s="1391"/>
      <c r="AI606" s="1391"/>
      <c r="AJ606" s="1391"/>
      <c r="AK606" s="1391"/>
      <c r="AL606"/>
      <c r="AM606"/>
      <c r="AN606"/>
      <c r="AO606"/>
      <c r="AP606"/>
      <c r="AQ606"/>
      <c r="AR606"/>
      <c r="AS606"/>
      <c r="AT606"/>
      <c r="AU606"/>
      <c r="AV606"/>
      <c r="AW606"/>
      <c r="AX606"/>
      <c r="AY606"/>
      <c r="AZ606" s="3"/>
      <c r="BA606" s="3"/>
      <c r="BB606" s="3"/>
      <c r="BC606" s="3"/>
      <c r="BD606" s="3"/>
      <c r="BE606" s="1416">
        <f t="shared" si="1"/>
        <v>0</v>
      </c>
      <c r="BF606" s="1417"/>
      <c r="BG606" s="1473">
        <f t="shared" si="2"/>
        <v>0</v>
      </c>
      <c r="BH606" s="1474"/>
      <c r="BI606" s="1416">
        <f t="shared" si="3"/>
        <v>1</v>
      </c>
      <c r="BJ606" s="1417"/>
      <c r="BK606" s="1473">
        <f t="shared" si="4"/>
        <v>7</v>
      </c>
      <c r="BL606" s="1474"/>
      <c r="BM606" s="3"/>
      <c r="BN606" s="1475">
        <f t="shared" si="5"/>
        <v>0</v>
      </c>
      <c r="BO606" s="1476"/>
      <c r="BP606" s="1476"/>
      <c r="BQ606" s="1476"/>
      <c r="BR606" s="1477"/>
      <c r="BS606" s="1392">
        <f t="shared" si="6"/>
        <v>0</v>
      </c>
      <c r="BT606" s="1392"/>
      <c r="BU606" s="1392"/>
      <c r="BV606" s="1392"/>
      <c r="BW606" s="1392"/>
      <c r="BX606" s="1392">
        <f t="shared" si="7"/>
        <v>0</v>
      </c>
      <c r="BY606" s="1392"/>
      <c r="BZ606" s="1392"/>
      <c r="CA606" s="1392"/>
      <c r="CB606" s="1392"/>
      <c r="CC606" s="1392">
        <f t="shared" si="8"/>
        <v>7</v>
      </c>
      <c r="CD606" s="1392"/>
      <c r="CE606" s="1392"/>
      <c r="CF606" s="1392"/>
      <c r="CG606" s="1392"/>
      <c r="CH606" s="1392">
        <f t="shared" si="9"/>
        <v>0</v>
      </c>
      <c r="CI606" s="1392"/>
      <c r="CJ606" s="1392"/>
      <c r="CK606" s="1392"/>
      <c r="CL606" s="1392"/>
      <c r="CM606" s="1392">
        <f t="shared" si="10"/>
        <v>0</v>
      </c>
      <c r="CN606" s="1392"/>
      <c r="CO606" s="1392"/>
      <c r="CP606" s="1392"/>
      <c r="CQ606" s="1392"/>
      <c r="CR606" s="6"/>
      <c r="CS606" s="1711">
        <f t="shared" si="11"/>
        <v>0</v>
      </c>
      <c r="CT606" s="1711"/>
      <c r="CU606" s="1711"/>
      <c r="CV606" s="1711"/>
      <c r="CW606" s="1711"/>
      <c r="CX606" s="1711">
        <f t="shared" si="12"/>
        <v>0</v>
      </c>
      <c r="CY606" s="1711"/>
      <c r="CZ606" s="1711"/>
      <c r="DA606" s="1711"/>
      <c r="DB606" s="1711"/>
      <c r="DC606" s="1711">
        <f t="shared" si="13"/>
        <v>0</v>
      </c>
      <c r="DD606" s="1711"/>
      <c r="DE606" s="1711"/>
      <c r="DF606" s="1711"/>
      <c r="DG606" s="1711"/>
      <c r="DH606" s="1711">
        <f t="shared" si="14"/>
        <v>7</v>
      </c>
      <c r="DI606" s="1711"/>
      <c r="DJ606" s="1711"/>
      <c r="DK606" s="1711"/>
      <c r="DL606" s="1711"/>
      <c r="DM606" s="1711">
        <f t="shared" si="15"/>
        <v>0</v>
      </c>
      <c r="DN606" s="1711"/>
      <c r="DO606" s="1711"/>
      <c r="DP606" s="1711"/>
      <c r="DQ606" s="1711"/>
      <c r="DR606" s="1711">
        <f t="shared" si="16"/>
        <v>0</v>
      </c>
      <c r="DS606" s="1711"/>
      <c r="DT606" s="1711"/>
      <c r="DU606" s="1711"/>
      <c r="DV606" s="1711"/>
      <c r="DX606" s="1416" t="str">
        <f t="shared" si="17"/>
        <v xml:space="preserve"> </v>
      </c>
      <c r="DY606" s="1857"/>
      <c r="DZ606" s="1857"/>
      <c r="EA606" s="1857"/>
      <c r="EB606" s="1417"/>
      <c r="EC606" s="1416" t="str">
        <f t="shared" si="18"/>
        <v xml:space="preserve"> </v>
      </c>
      <c r="ED606" s="1857"/>
      <c r="EE606" s="1857"/>
      <c r="EF606" s="1857"/>
      <c r="EG606" s="1417"/>
      <c r="EH606" s="1416" t="str">
        <f t="shared" si="19"/>
        <v xml:space="preserve"> </v>
      </c>
      <c r="EI606" s="1857"/>
      <c r="EJ606" s="1857"/>
      <c r="EK606" s="1857"/>
      <c r="EL606" s="1417"/>
      <c r="EM606" s="1416">
        <f t="shared" si="20"/>
        <v>676</v>
      </c>
      <c r="EN606" s="1857"/>
      <c r="EO606" s="1857"/>
      <c r="EP606" s="1857"/>
      <c r="EQ606" s="1417"/>
      <c r="ER606" s="1416" t="str">
        <f t="shared" si="21"/>
        <v xml:space="preserve"> </v>
      </c>
      <c r="ES606" s="1857"/>
      <c r="ET606" s="1857"/>
      <c r="EU606" s="1857"/>
      <c r="EV606" s="1417"/>
      <c r="EW606" s="1416" t="str">
        <f t="shared" si="22"/>
        <v xml:space="preserve"> </v>
      </c>
      <c r="EX606" s="1857"/>
      <c r="EY606" s="1857"/>
      <c r="EZ606" s="1857"/>
      <c r="FA606" s="1417"/>
    </row>
    <row r="607" spans="1:157" ht="12.95" customHeight="1">
      <c r="B607" t="s">
        <v>590</v>
      </c>
      <c r="G607" s="1391"/>
      <c r="H607" s="1391"/>
      <c r="I607" s="1391"/>
      <c r="J607" s="1391"/>
      <c r="K607" s="1391"/>
      <c r="L607" s="1391"/>
      <c r="M607" s="1391"/>
      <c r="N607" s="1391"/>
      <c r="O607" s="1391"/>
      <c r="P607" s="1391"/>
      <c r="Q607" s="1391"/>
      <c r="R607" s="1391"/>
      <c r="U607" t="s">
        <v>590</v>
      </c>
      <c r="Z607" s="1374"/>
      <c r="AA607" s="1374"/>
      <c r="AB607" s="1374"/>
      <c r="AC607" s="1374"/>
      <c r="AD607" s="1374"/>
      <c r="AE607" s="1374"/>
      <c r="AF607" s="1374"/>
      <c r="AG607" s="1374"/>
      <c r="AH607" s="1374"/>
      <c r="AI607" s="1374"/>
      <c r="AJ607" s="1374"/>
      <c r="AK607" s="1374"/>
      <c r="AZ607" s="3"/>
      <c r="BA607" s="3"/>
      <c r="BB607" s="3"/>
      <c r="BC607" s="3"/>
      <c r="BD607" s="3"/>
      <c r="BE607" s="1416">
        <f t="shared" si="1"/>
        <v>1</v>
      </c>
      <c r="BF607" s="1417"/>
      <c r="BG607" s="1473">
        <f t="shared" si="2"/>
        <v>13</v>
      </c>
      <c r="BH607" s="1474"/>
      <c r="BI607" s="1416">
        <f t="shared" si="3"/>
        <v>0</v>
      </c>
      <c r="BJ607" s="1417"/>
      <c r="BK607" s="1473">
        <f t="shared" si="4"/>
        <v>0</v>
      </c>
      <c r="BL607" s="1474"/>
      <c r="BM607" s="3"/>
      <c r="BN607" s="1475">
        <f t="shared" si="5"/>
        <v>0</v>
      </c>
      <c r="BO607" s="1476"/>
      <c r="BP607" s="1476"/>
      <c r="BQ607" s="1476"/>
      <c r="BR607" s="1477"/>
      <c r="BS607" s="1392">
        <f t="shared" si="6"/>
        <v>0</v>
      </c>
      <c r="BT607" s="1392"/>
      <c r="BU607" s="1392"/>
      <c r="BV607" s="1392"/>
      <c r="BW607" s="1392"/>
      <c r="BX607" s="1392">
        <f t="shared" si="7"/>
        <v>0</v>
      </c>
      <c r="BY607" s="1392"/>
      <c r="BZ607" s="1392"/>
      <c r="CA607" s="1392"/>
      <c r="CB607" s="1392"/>
      <c r="CC607" s="1392">
        <f t="shared" si="8"/>
        <v>13</v>
      </c>
      <c r="CD607" s="1392"/>
      <c r="CE607" s="1392"/>
      <c r="CF607" s="1392"/>
      <c r="CG607" s="1392"/>
      <c r="CH607" s="1392">
        <f t="shared" si="9"/>
        <v>0</v>
      </c>
      <c r="CI607" s="1392"/>
      <c r="CJ607" s="1392"/>
      <c r="CK607" s="1392"/>
      <c r="CL607" s="1392"/>
      <c r="CM607" s="1392">
        <f t="shared" si="10"/>
        <v>0</v>
      </c>
      <c r="CN607" s="1392"/>
      <c r="CO607" s="1392"/>
      <c r="CP607" s="1392"/>
      <c r="CQ607" s="1392"/>
      <c r="CR607" s="6"/>
      <c r="CS607" s="1711">
        <f t="shared" si="11"/>
        <v>0</v>
      </c>
      <c r="CT607" s="1711"/>
      <c r="CU607" s="1711"/>
      <c r="CV607" s="1711"/>
      <c r="CW607" s="1711"/>
      <c r="CX607" s="1711">
        <f t="shared" si="12"/>
        <v>0</v>
      </c>
      <c r="CY607" s="1711"/>
      <c r="CZ607" s="1711"/>
      <c r="DA607" s="1711"/>
      <c r="DB607" s="1711"/>
      <c r="DC607" s="1711">
        <f t="shared" si="13"/>
        <v>0</v>
      </c>
      <c r="DD607" s="1711"/>
      <c r="DE607" s="1711"/>
      <c r="DF607" s="1711"/>
      <c r="DG607" s="1711"/>
      <c r="DH607" s="1711">
        <f t="shared" si="14"/>
        <v>0</v>
      </c>
      <c r="DI607" s="1711"/>
      <c r="DJ607" s="1711"/>
      <c r="DK607" s="1711"/>
      <c r="DL607" s="1711"/>
      <c r="DM607" s="1711">
        <f t="shared" si="15"/>
        <v>0</v>
      </c>
      <c r="DN607" s="1711"/>
      <c r="DO607" s="1711"/>
      <c r="DP607" s="1711"/>
      <c r="DQ607" s="1711"/>
      <c r="DR607" s="1711">
        <f t="shared" si="16"/>
        <v>0</v>
      </c>
      <c r="DS607" s="1711"/>
      <c r="DT607" s="1711"/>
      <c r="DU607" s="1711"/>
      <c r="DV607" s="1711"/>
      <c r="DX607" s="1416" t="str">
        <f t="shared" si="17"/>
        <v xml:space="preserve"> </v>
      </c>
      <c r="DY607" s="1857"/>
      <c r="DZ607" s="1857"/>
      <c r="EA607" s="1857"/>
      <c r="EB607" s="1417"/>
      <c r="EC607" s="1416" t="str">
        <f t="shared" si="18"/>
        <v xml:space="preserve"> </v>
      </c>
      <c r="ED607" s="1857"/>
      <c r="EE607" s="1857"/>
      <c r="EF607" s="1857"/>
      <c r="EG607" s="1417"/>
      <c r="EH607" s="1416" t="str">
        <f t="shared" si="19"/>
        <v xml:space="preserve"> </v>
      </c>
      <c r="EI607" s="1857"/>
      <c r="EJ607" s="1857"/>
      <c r="EK607" s="1857"/>
      <c r="EL607" s="1417"/>
      <c r="EM607" s="1416">
        <f t="shared" si="20"/>
        <v>1295</v>
      </c>
      <c r="EN607" s="1857"/>
      <c r="EO607" s="1857"/>
      <c r="EP607" s="1857"/>
      <c r="EQ607" s="1417"/>
      <c r="ER607" s="1416" t="str">
        <f t="shared" si="21"/>
        <v xml:space="preserve"> </v>
      </c>
      <c r="ES607" s="1857"/>
      <c r="ET607" s="1857"/>
      <c r="EU607" s="1857"/>
      <c r="EV607" s="1417"/>
      <c r="EW607" s="1416" t="str">
        <f t="shared" si="22"/>
        <v xml:space="preserve"> </v>
      </c>
      <c r="EX607" s="1857"/>
      <c r="EY607" s="1857"/>
      <c r="EZ607" s="1857"/>
      <c r="FA607" s="1417"/>
    </row>
    <row r="608" spans="1:157" ht="12.95" customHeight="1">
      <c r="B608" t="s">
        <v>17</v>
      </c>
      <c r="G608" s="1391"/>
      <c r="H608" s="1391"/>
      <c r="I608" s="1391"/>
      <c r="J608" s="1391"/>
      <c r="K608" s="1391"/>
      <c r="L608" s="1391"/>
      <c r="M608" s="1391"/>
      <c r="N608" s="1391"/>
      <c r="O608" s="1391"/>
      <c r="P608" s="1391"/>
      <c r="Q608" s="1391"/>
      <c r="R608" s="1391"/>
      <c r="U608" t="s">
        <v>17</v>
      </c>
      <c r="Z608" s="1374"/>
      <c r="AA608" s="1374"/>
      <c r="AB608" s="1374"/>
      <c r="AC608" s="1374"/>
      <c r="AD608" s="1374"/>
      <c r="AE608" s="1374"/>
      <c r="AF608" s="1374"/>
      <c r="AG608" s="1374"/>
      <c r="AH608" s="1374"/>
      <c r="AI608" s="1374"/>
      <c r="AJ608" s="1374"/>
      <c r="AK608" s="1374"/>
      <c r="AZ608" s="3"/>
      <c r="BA608" s="3"/>
      <c r="BB608" s="3"/>
      <c r="BC608" s="3"/>
      <c r="BD608" s="3"/>
      <c r="BE608" s="1416">
        <f t="shared" si="1"/>
        <v>0</v>
      </c>
      <c r="BF608" s="1417"/>
      <c r="BG608" s="1473">
        <f t="shared" si="2"/>
        <v>0</v>
      </c>
      <c r="BH608" s="1474"/>
      <c r="BI608" s="1416">
        <f t="shared" si="3"/>
        <v>0</v>
      </c>
      <c r="BJ608" s="1417"/>
      <c r="BK608" s="1473">
        <f t="shared" si="4"/>
        <v>0</v>
      </c>
      <c r="BL608" s="1474"/>
      <c r="BM608" s="3"/>
      <c r="BN608" s="1475">
        <f t="shared" si="5"/>
        <v>0</v>
      </c>
      <c r="BO608" s="1476"/>
      <c r="BP608" s="1476"/>
      <c r="BQ608" s="1476"/>
      <c r="BR608" s="1477"/>
      <c r="BS608" s="1392">
        <f t="shared" si="6"/>
        <v>0</v>
      </c>
      <c r="BT608" s="1392"/>
      <c r="BU608" s="1392"/>
      <c r="BV608" s="1392"/>
      <c r="BW608" s="1392"/>
      <c r="BX608" s="1392">
        <f t="shared" si="7"/>
        <v>0</v>
      </c>
      <c r="BY608" s="1392"/>
      <c r="BZ608" s="1392"/>
      <c r="CA608" s="1392"/>
      <c r="CB608" s="1392"/>
      <c r="CC608" s="1392">
        <f t="shared" si="8"/>
        <v>24</v>
      </c>
      <c r="CD608" s="1392"/>
      <c r="CE608" s="1392"/>
      <c r="CF608" s="1392"/>
      <c r="CG608" s="1392"/>
      <c r="CH608" s="1392">
        <f t="shared" si="9"/>
        <v>0</v>
      </c>
      <c r="CI608" s="1392"/>
      <c r="CJ608" s="1392"/>
      <c r="CK608" s="1392"/>
      <c r="CL608" s="1392"/>
      <c r="CM608" s="1392">
        <f t="shared" si="10"/>
        <v>0</v>
      </c>
      <c r="CN608" s="1392"/>
      <c r="CO608" s="1392"/>
      <c r="CP608" s="1392"/>
      <c r="CQ608" s="1392"/>
      <c r="CR608" s="6"/>
      <c r="CS608" s="1711">
        <f t="shared" si="11"/>
        <v>0</v>
      </c>
      <c r="CT608" s="1711"/>
      <c r="CU608" s="1711"/>
      <c r="CV608" s="1711"/>
      <c r="CW608" s="1711"/>
      <c r="CX608" s="1711">
        <f t="shared" si="12"/>
        <v>0</v>
      </c>
      <c r="CY608" s="1711"/>
      <c r="CZ608" s="1711"/>
      <c r="DA608" s="1711"/>
      <c r="DB608" s="1711"/>
      <c r="DC608" s="1711">
        <f t="shared" si="13"/>
        <v>0</v>
      </c>
      <c r="DD608" s="1711"/>
      <c r="DE608" s="1711"/>
      <c r="DF608" s="1711"/>
      <c r="DG608" s="1711"/>
      <c r="DH608" s="1711">
        <f t="shared" si="14"/>
        <v>0</v>
      </c>
      <c r="DI608" s="1711"/>
      <c r="DJ608" s="1711"/>
      <c r="DK608" s="1711"/>
      <c r="DL608" s="1711"/>
      <c r="DM608" s="1711">
        <f t="shared" si="15"/>
        <v>0</v>
      </c>
      <c r="DN608" s="1711"/>
      <c r="DO608" s="1711"/>
      <c r="DP608" s="1711"/>
      <c r="DQ608" s="1711"/>
      <c r="DR608" s="1711">
        <f t="shared" si="16"/>
        <v>0</v>
      </c>
      <c r="DS608" s="1711"/>
      <c r="DT608" s="1711"/>
      <c r="DU608" s="1711"/>
      <c r="DV608" s="1711"/>
      <c r="DX608" s="1416" t="str">
        <f t="shared" si="17"/>
        <v xml:space="preserve"> </v>
      </c>
      <c r="DY608" s="1857"/>
      <c r="DZ608" s="1857"/>
      <c r="EA608" s="1857"/>
      <c r="EB608" s="1417"/>
      <c r="EC608" s="1416" t="str">
        <f t="shared" si="18"/>
        <v xml:space="preserve"> </v>
      </c>
      <c r="ED608" s="1857"/>
      <c r="EE608" s="1857"/>
      <c r="EF608" s="1857"/>
      <c r="EG608" s="1417"/>
      <c r="EH608" s="1416" t="str">
        <f t="shared" si="19"/>
        <v xml:space="preserve"> </v>
      </c>
      <c r="EI608" s="1857"/>
      <c r="EJ608" s="1857"/>
      <c r="EK608" s="1857"/>
      <c r="EL608" s="1417"/>
      <c r="EM608" s="1416">
        <f t="shared" si="20"/>
        <v>1605</v>
      </c>
      <c r="EN608" s="1857"/>
      <c r="EO608" s="1857"/>
      <c r="EP608" s="1857"/>
      <c r="EQ608" s="1417"/>
      <c r="ER608" s="1416" t="str">
        <f t="shared" si="21"/>
        <v xml:space="preserve"> </v>
      </c>
      <c r="ES608" s="1857"/>
      <c r="ET608" s="1857"/>
      <c r="EU608" s="1857"/>
      <c r="EV608" s="1417"/>
      <c r="EW608" s="1416" t="str">
        <f t="shared" si="22"/>
        <v xml:space="preserve"> </v>
      </c>
      <c r="EX608" s="1857"/>
      <c r="EY608" s="1857"/>
      <c r="EZ608" s="1857"/>
      <c r="FA608" s="1417"/>
    </row>
    <row r="609" spans="1:157" ht="12.95" customHeight="1">
      <c r="B609" t="s">
        <v>318</v>
      </c>
      <c r="G609" s="1439"/>
      <c r="H609" s="1439"/>
      <c r="I609" s="1439"/>
      <c r="J609" s="1439"/>
      <c r="K609" s="1439"/>
      <c r="L609" s="1439"/>
      <c r="O609" s="33" t="s">
        <v>208</v>
      </c>
      <c r="P609" s="1422"/>
      <c r="Q609" s="1422"/>
      <c r="R609" s="1422"/>
      <c r="U609" t="s">
        <v>318</v>
      </c>
      <c r="Z609" s="1439"/>
      <c r="AA609" s="1439"/>
      <c r="AB609" s="1439"/>
      <c r="AC609" s="1439"/>
      <c r="AD609" s="1439"/>
      <c r="AE609" s="1439"/>
      <c r="AH609" s="33" t="s">
        <v>208</v>
      </c>
      <c r="AI609" s="1422"/>
      <c r="AJ609" s="1422"/>
      <c r="AK609" s="1422"/>
      <c r="AZ609" s="3"/>
      <c r="BA609" s="3"/>
      <c r="BB609" s="3"/>
      <c r="BC609" s="3"/>
      <c r="BD609" s="3"/>
      <c r="BE609" s="1416">
        <f t="shared" si="1"/>
        <v>0</v>
      </c>
      <c r="BF609" s="1417"/>
      <c r="BG609" s="1473">
        <f t="shared" si="2"/>
        <v>0</v>
      </c>
      <c r="BH609" s="1474"/>
      <c r="BI609" s="1416">
        <f t="shared" si="3"/>
        <v>0</v>
      </c>
      <c r="BJ609" s="1417"/>
      <c r="BK609" s="1473">
        <f t="shared" si="4"/>
        <v>0</v>
      </c>
      <c r="BL609" s="1474"/>
      <c r="BM609" s="3"/>
      <c r="BN609" s="1475">
        <f t="shared" si="5"/>
        <v>0</v>
      </c>
      <c r="BO609" s="1476"/>
      <c r="BP609" s="1476"/>
      <c r="BQ609" s="1476"/>
      <c r="BR609" s="1477"/>
      <c r="BS609" s="1392">
        <f t="shared" si="6"/>
        <v>0</v>
      </c>
      <c r="BT609" s="1392"/>
      <c r="BU609" s="1392"/>
      <c r="BV609" s="1392"/>
      <c r="BW609" s="1392"/>
      <c r="BX609" s="1392">
        <f t="shared" si="7"/>
        <v>0</v>
      </c>
      <c r="BY609" s="1392"/>
      <c r="BZ609" s="1392"/>
      <c r="CA609" s="1392"/>
      <c r="CB609" s="1392"/>
      <c r="CC609" s="1392">
        <f t="shared" si="8"/>
        <v>34</v>
      </c>
      <c r="CD609" s="1392"/>
      <c r="CE609" s="1392"/>
      <c r="CF609" s="1392"/>
      <c r="CG609" s="1392"/>
      <c r="CH609" s="1392">
        <f t="shared" si="9"/>
        <v>0</v>
      </c>
      <c r="CI609" s="1392"/>
      <c r="CJ609" s="1392"/>
      <c r="CK609" s="1392"/>
      <c r="CL609" s="1392"/>
      <c r="CM609" s="1392">
        <f t="shared" si="10"/>
        <v>0</v>
      </c>
      <c r="CN609" s="1392"/>
      <c r="CO609" s="1392"/>
      <c r="CP609" s="1392"/>
      <c r="CQ609" s="1392"/>
      <c r="CR609" s="6"/>
      <c r="CS609" s="1711">
        <f t="shared" si="11"/>
        <v>0</v>
      </c>
      <c r="CT609" s="1711"/>
      <c r="CU609" s="1711"/>
      <c r="CV609" s="1711"/>
      <c r="CW609" s="1711"/>
      <c r="CX609" s="1711">
        <f t="shared" si="12"/>
        <v>0</v>
      </c>
      <c r="CY609" s="1711"/>
      <c r="CZ609" s="1711"/>
      <c r="DA609" s="1711"/>
      <c r="DB609" s="1711"/>
      <c r="DC609" s="1711">
        <f t="shared" si="13"/>
        <v>0</v>
      </c>
      <c r="DD609" s="1711"/>
      <c r="DE609" s="1711"/>
      <c r="DF609" s="1711"/>
      <c r="DG609" s="1711"/>
      <c r="DH609" s="1711">
        <f t="shared" si="14"/>
        <v>0</v>
      </c>
      <c r="DI609" s="1711"/>
      <c r="DJ609" s="1711"/>
      <c r="DK609" s="1711"/>
      <c r="DL609" s="1711"/>
      <c r="DM609" s="1711">
        <f t="shared" si="15"/>
        <v>0</v>
      </c>
      <c r="DN609" s="1711"/>
      <c r="DO609" s="1711"/>
      <c r="DP609" s="1711"/>
      <c r="DQ609" s="1711"/>
      <c r="DR609" s="1711">
        <f t="shared" si="16"/>
        <v>0</v>
      </c>
      <c r="DS609" s="1711"/>
      <c r="DT609" s="1711"/>
      <c r="DU609" s="1711"/>
      <c r="DV609" s="1711"/>
      <c r="DX609" s="1416" t="str">
        <f t="shared" si="17"/>
        <v xml:space="preserve"> </v>
      </c>
      <c r="DY609" s="1857"/>
      <c r="DZ609" s="1857"/>
      <c r="EA609" s="1857"/>
      <c r="EB609" s="1417"/>
      <c r="EC609" s="1416" t="str">
        <f t="shared" si="18"/>
        <v xml:space="preserve"> </v>
      </c>
      <c r="ED609" s="1857"/>
      <c r="EE609" s="1857"/>
      <c r="EF609" s="1857"/>
      <c r="EG609" s="1417"/>
      <c r="EH609" s="1416" t="str">
        <f t="shared" si="19"/>
        <v xml:space="preserve"> </v>
      </c>
      <c r="EI609" s="1857"/>
      <c r="EJ609" s="1857"/>
      <c r="EK609" s="1857"/>
      <c r="EL609" s="1417"/>
      <c r="EM609" s="1416">
        <f t="shared" si="20"/>
        <v>1915</v>
      </c>
      <c r="EN609" s="1857"/>
      <c r="EO609" s="1857"/>
      <c r="EP609" s="1857"/>
      <c r="EQ609" s="1417"/>
      <c r="ER609" s="1416" t="str">
        <f t="shared" si="21"/>
        <v xml:space="preserve"> </v>
      </c>
      <c r="ES609" s="1857"/>
      <c r="ET609" s="1857"/>
      <c r="EU609" s="1857"/>
      <c r="EV609" s="1417"/>
      <c r="EW609" s="1416" t="str">
        <f t="shared" si="22"/>
        <v xml:space="preserve"> </v>
      </c>
      <c r="EX609" s="1857"/>
      <c r="EY609" s="1857"/>
      <c r="EZ609" s="1857"/>
      <c r="FA609" s="1417"/>
    </row>
    <row r="610" spans="1:157" ht="12.95" customHeight="1">
      <c r="B610" t="s">
        <v>18</v>
      </c>
      <c r="H610" s="1391"/>
      <c r="I610" s="1391"/>
      <c r="J610" s="1391"/>
      <c r="K610" s="1391"/>
      <c r="L610" s="1391"/>
      <c r="M610" s="1391"/>
      <c r="N610" s="1391"/>
      <c r="O610" s="1391"/>
      <c r="P610" s="1391"/>
      <c r="Q610" s="1391"/>
      <c r="R610" s="1391"/>
      <c r="U610" t="s">
        <v>18</v>
      </c>
      <c r="AA610" s="1391"/>
      <c r="AB610" s="1391"/>
      <c r="AC610" s="1391"/>
      <c r="AD610" s="1391"/>
      <c r="AE610" s="1391"/>
      <c r="AF610" s="1391"/>
      <c r="AG610" s="1391"/>
      <c r="AH610" s="1391"/>
      <c r="AI610" s="1391"/>
      <c r="AJ610" s="1391"/>
      <c r="AK610" s="1391"/>
      <c r="AZ610" s="3"/>
      <c r="BA610" s="3"/>
      <c r="BB610" s="3"/>
      <c r="BC610" s="3"/>
      <c r="BD610" s="3"/>
      <c r="BE610" s="1416">
        <f t="shared" si="1"/>
        <v>0</v>
      </c>
      <c r="BF610" s="1417"/>
      <c r="BG610" s="1473">
        <f t="shared" si="2"/>
        <v>0</v>
      </c>
      <c r="BH610" s="1474"/>
      <c r="BI610" s="1416">
        <f t="shared" si="3"/>
        <v>0</v>
      </c>
      <c r="BJ610" s="1417"/>
      <c r="BK610" s="1473">
        <f t="shared" si="4"/>
        <v>0</v>
      </c>
      <c r="BL610" s="1474"/>
      <c r="BM610" s="3"/>
      <c r="BN610" s="1475">
        <f t="shared" si="5"/>
        <v>0</v>
      </c>
      <c r="BO610" s="1476"/>
      <c r="BP610" s="1476"/>
      <c r="BQ610" s="1476"/>
      <c r="BR610" s="1477"/>
      <c r="BS610" s="1392">
        <f t="shared" si="6"/>
        <v>0</v>
      </c>
      <c r="BT610" s="1392"/>
      <c r="BU610" s="1392"/>
      <c r="BV610" s="1392"/>
      <c r="BW610" s="1392"/>
      <c r="BX610" s="1392">
        <f t="shared" si="7"/>
        <v>0</v>
      </c>
      <c r="BY610" s="1392"/>
      <c r="BZ610" s="1392"/>
      <c r="CA610" s="1392"/>
      <c r="CB610" s="1392"/>
      <c r="CC610" s="1392">
        <f t="shared" si="8"/>
        <v>0</v>
      </c>
      <c r="CD610" s="1392"/>
      <c r="CE610" s="1392"/>
      <c r="CF610" s="1392"/>
      <c r="CG610" s="1392"/>
      <c r="CH610" s="1392">
        <f t="shared" si="9"/>
        <v>0</v>
      </c>
      <c r="CI610" s="1392"/>
      <c r="CJ610" s="1392"/>
      <c r="CK610" s="1392"/>
      <c r="CL610" s="1392"/>
      <c r="CM610" s="1392">
        <f t="shared" si="10"/>
        <v>0</v>
      </c>
      <c r="CN610" s="1392"/>
      <c r="CO610" s="1392"/>
      <c r="CP610" s="1392"/>
      <c r="CQ610" s="1392"/>
      <c r="CR610" s="6"/>
      <c r="CS610" s="1711">
        <f t="shared" si="11"/>
        <v>0</v>
      </c>
      <c r="CT610" s="1711"/>
      <c r="CU610" s="1711"/>
      <c r="CV610" s="1711"/>
      <c r="CW610" s="1711"/>
      <c r="CX610" s="1711">
        <f t="shared" si="12"/>
        <v>0</v>
      </c>
      <c r="CY610" s="1711"/>
      <c r="CZ610" s="1711"/>
      <c r="DA610" s="1711"/>
      <c r="DB610" s="1711"/>
      <c r="DC610" s="1711">
        <f t="shared" si="13"/>
        <v>0</v>
      </c>
      <c r="DD610" s="1711"/>
      <c r="DE610" s="1711"/>
      <c r="DF610" s="1711"/>
      <c r="DG610" s="1711"/>
      <c r="DH610" s="1711">
        <f t="shared" si="14"/>
        <v>0</v>
      </c>
      <c r="DI610" s="1711"/>
      <c r="DJ610" s="1711"/>
      <c r="DK610" s="1711"/>
      <c r="DL610" s="1711"/>
      <c r="DM610" s="1711">
        <f t="shared" si="15"/>
        <v>0</v>
      </c>
      <c r="DN610" s="1711"/>
      <c r="DO610" s="1711"/>
      <c r="DP610" s="1711"/>
      <c r="DQ610" s="1711"/>
      <c r="DR610" s="1711">
        <f t="shared" si="16"/>
        <v>0</v>
      </c>
      <c r="DS610" s="1711"/>
      <c r="DT610" s="1711"/>
      <c r="DU610" s="1711"/>
      <c r="DV610" s="1711"/>
      <c r="DX610" s="1416" t="str">
        <f t="shared" si="17"/>
        <v xml:space="preserve"> </v>
      </c>
      <c r="DY610" s="1857"/>
      <c r="DZ610" s="1857"/>
      <c r="EA610" s="1857"/>
      <c r="EB610" s="1417"/>
      <c r="EC610" s="1416" t="str">
        <f t="shared" si="18"/>
        <v xml:space="preserve"> </v>
      </c>
      <c r="ED610" s="1857"/>
      <c r="EE610" s="1857"/>
      <c r="EF610" s="1857"/>
      <c r="EG610" s="1417"/>
      <c r="EH610" s="1416" t="str">
        <f t="shared" si="19"/>
        <v xml:space="preserve"> </v>
      </c>
      <c r="EI610" s="1857"/>
      <c r="EJ610" s="1857"/>
      <c r="EK610" s="1857"/>
      <c r="EL610" s="1417"/>
      <c r="EM610" s="1416" t="str">
        <f t="shared" si="20"/>
        <v xml:space="preserve"> </v>
      </c>
      <c r="EN610" s="1857"/>
      <c r="EO610" s="1857"/>
      <c r="EP610" s="1857"/>
      <c r="EQ610" s="1417"/>
      <c r="ER610" s="1416" t="str">
        <f t="shared" si="21"/>
        <v xml:space="preserve"> </v>
      </c>
      <c r="ES610" s="1857"/>
      <c r="ET610" s="1857"/>
      <c r="EU610" s="1857"/>
      <c r="EV610" s="1417"/>
      <c r="EW610" s="1416" t="str">
        <f t="shared" si="22"/>
        <v xml:space="preserve"> </v>
      </c>
      <c r="EX610" s="1857"/>
      <c r="EY610" s="1857"/>
      <c r="EZ610" s="1857"/>
      <c r="FA610" s="1417"/>
    </row>
    <row r="611" spans="1:157" ht="12.95" customHeight="1">
      <c r="B611" t="s">
        <v>20</v>
      </c>
      <c r="N611" s="1378" t="s">
        <v>679</v>
      </c>
      <c r="O611" s="1378"/>
      <c r="U611" t="s">
        <v>20</v>
      </c>
      <c r="AG611" s="1378" t="s">
        <v>679</v>
      </c>
      <c r="AH611" s="1378"/>
      <c r="AZ611" s="3"/>
      <c r="BA611" s="3"/>
      <c r="BB611" s="3"/>
      <c r="BC611" s="3"/>
      <c r="BD611" s="3"/>
      <c r="BE611" s="1416">
        <f t="shared" si="1"/>
        <v>0</v>
      </c>
      <c r="BF611" s="1417"/>
      <c r="BG611" s="1473">
        <f t="shared" si="2"/>
        <v>0</v>
      </c>
      <c r="BH611" s="1474"/>
      <c r="BI611" s="1416">
        <f t="shared" si="3"/>
        <v>0</v>
      </c>
      <c r="BJ611" s="1417"/>
      <c r="BK611" s="1473">
        <f t="shared" si="4"/>
        <v>0</v>
      </c>
      <c r="BL611" s="1474"/>
      <c r="BM611" s="3"/>
      <c r="BN611" s="1475">
        <f t="shared" si="5"/>
        <v>0</v>
      </c>
      <c r="BO611" s="1476"/>
      <c r="BP611" s="1476"/>
      <c r="BQ611" s="1476"/>
      <c r="BR611" s="1477"/>
      <c r="BS611" s="1392">
        <f t="shared" si="6"/>
        <v>0</v>
      </c>
      <c r="BT611" s="1392"/>
      <c r="BU611" s="1392"/>
      <c r="BV611" s="1392"/>
      <c r="BW611" s="1392"/>
      <c r="BX611" s="1392">
        <f t="shared" si="7"/>
        <v>0</v>
      </c>
      <c r="BY611" s="1392"/>
      <c r="BZ611" s="1392"/>
      <c r="CA611" s="1392"/>
      <c r="CB611" s="1392"/>
      <c r="CC611" s="1392">
        <f t="shared" si="8"/>
        <v>0</v>
      </c>
      <c r="CD611" s="1392"/>
      <c r="CE611" s="1392"/>
      <c r="CF611" s="1392"/>
      <c r="CG611" s="1392"/>
      <c r="CH611" s="1392">
        <f t="shared" si="9"/>
        <v>0</v>
      </c>
      <c r="CI611" s="1392"/>
      <c r="CJ611" s="1392"/>
      <c r="CK611" s="1392"/>
      <c r="CL611" s="1392"/>
      <c r="CM611" s="1392">
        <f t="shared" si="10"/>
        <v>0</v>
      </c>
      <c r="CN611" s="1392"/>
      <c r="CO611" s="1392"/>
      <c r="CP611" s="1392"/>
      <c r="CQ611" s="1392"/>
      <c r="CR611" s="6"/>
      <c r="CS611" s="1711">
        <f t="shared" si="11"/>
        <v>0</v>
      </c>
      <c r="CT611" s="1711"/>
      <c r="CU611" s="1711"/>
      <c r="CV611" s="1711"/>
      <c r="CW611" s="1711"/>
      <c r="CX611" s="1711">
        <f t="shared" si="12"/>
        <v>0</v>
      </c>
      <c r="CY611" s="1711"/>
      <c r="CZ611" s="1711"/>
      <c r="DA611" s="1711"/>
      <c r="DB611" s="1711"/>
      <c r="DC611" s="1711">
        <f t="shared" si="13"/>
        <v>0</v>
      </c>
      <c r="DD611" s="1711"/>
      <c r="DE611" s="1711"/>
      <c r="DF611" s="1711"/>
      <c r="DG611" s="1711"/>
      <c r="DH611" s="1711">
        <f t="shared" si="14"/>
        <v>0</v>
      </c>
      <c r="DI611" s="1711"/>
      <c r="DJ611" s="1711"/>
      <c r="DK611" s="1711"/>
      <c r="DL611" s="1711"/>
      <c r="DM611" s="1711">
        <f t="shared" si="15"/>
        <v>0</v>
      </c>
      <c r="DN611" s="1711"/>
      <c r="DO611" s="1711"/>
      <c r="DP611" s="1711"/>
      <c r="DQ611" s="1711"/>
      <c r="DR611" s="1711">
        <f t="shared" si="16"/>
        <v>0</v>
      </c>
      <c r="DS611" s="1711"/>
      <c r="DT611" s="1711"/>
      <c r="DU611" s="1711"/>
      <c r="DV611" s="1711"/>
      <c r="DX611" s="1416" t="str">
        <f t="shared" si="17"/>
        <v xml:space="preserve"> </v>
      </c>
      <c r="DY611" s="1857"/>
      <c r="DZ611" s="1857"/>
      <c r="EA611" s="1857"/>
      <c r="EB611" s="1417"/>
      <c r="EC611" s="1416" t="str">
        <f t="shared" si="18"/>
        <v xml:space="preserve"> </v>
      </c>
      <c r="ED611" s="1857"/>
      <c r="EE611" s="1857"/>
      <c r="EF611" s="1857"/>
      <c r="EG611" s="1417"/>
      <c r="EH611" s="1416" t="str">
        <f t="shared" si="19"/>
        <v xml:space="preserve"> </v>
      </c>
      <c r="EI611" s="1857"/>
      <c r="EJ611" s="1857"/>
      <c r="EK611" s="1857"/>
      <c r="EL611" s="1417"/>
      <c r="EM611" s="1416" t="str">
        <f t="shared" si="20"/>
        <v xml:space="preserve"> </v>
      </c>
      <c r="EN611" s="1857"/>
      <c r="EO611" s="1857"/>
      <c r="EP611" s="1857"/>
      <c r="EQ611" s="1417"/>
      <c r="ER611" s="1416" t="str">
        <f t="shared" si="21"/>
        <v xml:space="preserve"> </v>
      </c>
      <c r="ES611" s="1857"/>
      <c r="ET611" s="1857"/>
      <c r="EU611" s="1857"/>
      <c r="EV611" s="1417"/>
      <c r="EW611" s="1416" t="str">
        <f t="shared" si="22"/>
        <v xml:space="preserve"> </v>
      </c>
      <c r="EX611" s="1857"/>
      <c r="EY611" s="1857"/>
      <c r="EZ611" s="1857"/>
      <c r="FA611" s="1417"/>
    </row>
    <row r="612" spans="1:157" ht="12.95" customHeight="1">
      <c r="AZ612" s="3"/>
      <c r="BA612" s="3"/>
      <c r="BB612" s="3"/>
      <c r="BC612" s="3"/>
      <c r="BD612" s="3"/>
      <c r="BE612" s="1416">
        <f t="shared" si="1"/>
        <v>0</v>
      </c>
      <c r="BF612" s="1417"/>
      <c r="BG612" s="1473">
        <f t="shared" si="2"/>
        <v>0</v>
      </c>
      <c r="BH612" s="1474"/>
      <c r="BI612" s="1416">
        <f t="shared" si="3"/>
        <v>0</v>
      </c>
      <c r="BJ612" s="1417"/>
      <c r="BK612" s="1473">
        <f t="shared" si="4"/>
        <v>0</v>
      </c>
      <c r="BL612" s="1474"/>
      <c r="BM612" s="3"/>
      <c r="BN612" s="1475">
        <f t="shared" si="5"/>
        <v>0</v>
      </c>
      <c r="BO612" s="1476"/>
      <c r="BP612" s="1476"/>
      <c r="BQ612" s="1476"/>
      <c r="BR612" s="1477"/>
      <c r="BS612" s="1392">
        <f t="shared" si="6"/>
        <v>0</v>
      </c>
      <c r="BT612" s="1392"/>
      <c r="BU612" s="1392"/>
      <c r="BV612" s="1392"/>
      <c r="BW612" s="1392"/>
      <c r="BX612" s="1392">
        <f t="shared" si="7"/>
        <v>0</v>
      </c>
      <c r="BY612" s="1392"/>
      <c r="BZ612" s="1392"/>
      <c r="CA612" s="1392"/>
      <c r="CB612" s="1392"/>
      <c r="CC612" s="1392">
        <f t="shared" si="8"/>
        <v>0</v>
      </c>
      <c r="CD612" s="1392"/>
      <c r="CE612" s="1392"/>
      <c r="CF612" s="1392"/>
      <c r="CG612" s="1392"/>
      <c r="CH612" s="1392">
        <f t="shared" si="9"/>
        <v>0</v>
      </c>
      <c r="CI612" s="1392"/>
      <c r="CJ612" s="1392"/>
      <c r="CK612" s="1392"/>
      <c r="CL612" s="1392"/>
      <c r="CM612" s="1392">
        <f t="shared" si="10"/>
        <v>0</v>
      </c>
      <c r="CN612" s="1392"/>
      <c r="CO612" s="1392"/>
      <c r="CP612" s="1392"/>
      <c r="CQ612" s="1392"/>
      <c r="CR612" s="6"/>
      <c r="CS612" s="1711">
        <f t="shared" si="11"/>
        <v>0</v>
      </c>
      <c r="CT612" s="1711"/>
      <c r="CU612" s="1711"/>
      <c r="CV612" s="1711"/>
      <c r="CW612" s="1711"/>
      <c r="CX612" s="1711">
        <f t="shared" si="12"/>
        <v>0</v>
      </c>
      <c r="CY612" s="1711"/>
      <c r="CZ612" s="1711"/>
      <c r="DA612" s="1711"/>
      <c r="DB612" s="1711"/>
      <c r="DC612" s="1711">
        <f t="shared" si="13"/>
        <v>0</v>
      </c>
      <c r="DD612" s="1711"/>
      <c r="DE612" s="1711"/>
      <c r="DF612" s="1711"/>
      <c r="DG612" s="1711"/>
      <c r="DH612" s="1711">
        <f t="shared" si="14"/>
        <v>0</v>
      </c>
      <c r="DI612" s="1711"/>
      <c r="DJ612" s="1711"/>
      <c r="DK612" s="1711"/>
      <c r="DL612" s="1711"/>
      <c r="DM612" s="1711">
        <f t="shared" si="15"/>
        <v>0</v>
      </c>
      <c r="DN612" s="1711"/>
      <c r="DO612" s="1711"/>
      <c r="DP612" s="1711"/>
      <c r="DQ612" s="1711"/>
      <c r="DR612" s="1711">
        <f t="shared" si="16"/>
        <v>0</v>
      </c>
      <c r="DS612" s="1711"/>
      <c r="DT612" s="1711"/>
      <c r="DU612" s="1711"/>
      <c r="DV612" s="1711"/>
      <c r="DX612" s="1416" t="str">
        <f t="shared" si="17"/>
        <v xml:space="preserve"> </v>
      </c>
      <c r="DY612" s="1857"/>
      <c r="DZ612" s="1857"/>
      <c r="EA612" s="1857"/>
      <c r="EB612" s="1417"/>
      <c r="EC612" s="1416" t="str">
        <f t="shared" si="18"/>
        <v xml:space="preserve"> </v>
      </c>
      <c r="ED612" s="1857"/>
      <c r="EE612" s="1857"/>
      <c r="EF612" s="1857"/>
      <c r="EG612" s="1417"/>
      <c r="EH612" s="1416" t="str">
        <f t="shared" si="19"/>
        <v xml:space="preserve"> </v>
      </c>
      <c r="EI612" s="1857"/>
      <c r="EJ612" s="1857"/>
      <c r="EK612" s="1857"/>
      <c r="EL612" s="1417"/>
      <c r="EM612" s="1416" t="str">
        <f t="shared" si="20"/>
        <v xml:space="preserve"> </v>
      </c>
      <c r="EN612" s="1857"/>
      <c r="EO612" s="1857"/>
      <c r="EP612" s="1857"/>
      <c r="EQ612" s="1417"/>
      <c r="ER612" s="1416" t="str">
        <f t="shared" si="21"/>
        <v xml:space="preserve"> </v>
      </c>
      <c r="ES612" s="1857"/>
      <c r="ET612" s="1857"/>
      <c r="EU612" s="1857"/>
      <c r="EV612" s="1417"/>
      <c r="EW612" s="1416" t="str">
        <f t="shared" si="22"/>
        <v xml:space="preserve"> </v>
      </c>
      <c r="EX612" s="1857"/>
      <c r="EY612" s="1857"/>
      <c r="EZ612" s="1857"/>
      <c r="FA612" s="1417"/>
    </row>
    <row r="613" spans="1:157" ht="12.95" customHeight="1">
      <c r="A613" s="1272" t="s">
        <v>554</v>
      </c>
      <c r="B613" s="1272"/>
      <c r="C613" s="1272"/>
      <c r="D613" s="1272"/>
      <c r="E613" s="1272"/>
      <c r="F613" s="1272"/>
      <c r="G613" s="1272"/>
      <c r="H613" s="1272"/>
      <c r="I613" s="1272"/>
      <c r="J613" s="1272"/>
      <c r="K613" s="1272"/>
      <c r="L613" s="1272"/>
      <c r="M613" s="1272"/>
      <c r="N613" s="1272"/>
      <c r="O613" s="1272"/>
      <c r="P613" s="1272"/>
      <c r="Q613" s="1272"/>
      <c r="R613" s="1272"/>
      <c r="S613" s="1272"/>
      <c r="T613" s="1272"/>
      <c r="U613" s="1272"/>
      <c r="V613" s="1272"/>
      <c r="W613" s="1272"/>
      <c r="X613" s="1272"/>
      <c r="Y613" s="1272"/>
      <c r="Z613" s="1272"/>
      <c r="AA613" s="1272"/>
      <c r="AB613" s="1272"/>
      <c r="AC613" s="1272"/>
      <c r="AD613" s="1272"/>
      <c r="AE613" s="1272"/>
      <c r="AF613" s="1272"/>
      <c r="AG613" s="1272"/>
      <c r="AH613" s="1272"/>
      <c r="AI613" s="1272"/>
      <c r="AJ613" s="1272"/>
      <c r="AK613" s="1272"/>
      <c r="AL613" s="1272"/>
      <c r="AM613" s="1272"/>
      <c r="AN613" s="1272"/>
      <c r="AO613" s="1272"/>
      <c r="AP613" s="1272"/>
      <c r="AQ613" s="1272"/>
      <c r="AR613" s="1272"/>
      <c r="AS613" s="1272"/>
      <c r="AT613" s="933"/>
      <c r="AU613" s="933"/>
      <c r="AV613" s="933"/>
      <c r="AW613" s="933"/>
      <c r="AX613" s="933"/>
      <c r="AY613" s="933"/>
      <c r="AZ613" s="3"/>
      <c r="BA613" s="3"/>
      <c r="BB613" s="3"/>
      <c r="BC613" s="3"/>
      <c r="BD613" s="3"/>
      <c r="BE613" s="1416">
        <f t="shared" si="1"/>
        <v>0</v>
      </c>
      <c r="BF613" s="1417"/>
      <c r="BG613" s="1473">
        <f t="shared" si="2"/>
        <v>0</v>
      </c>
      <c r="BH613" s="1474"/>
      <c r="BI613" s="1416">
        <f t="shared" si="3"/>
        <v>0</v>
      </c>
      <c r="BJ613" s="1417"/>
      <c r="BK613" s="1473">
        <f t="shared" si="4"/>
        <v>0</v>
      </c>
      <c r="BL613" s="1474"/>
      <c r="BM613" s="3"/>
      <c r="BN613" s="1475">
        <f t="shared" si="5"/>
        <v>0</v>
      </c>
      <c r="BO613" s="1476"/>
      <c r="BP613" s="1476"/>
      <c r="BQ613" s="1476"/>
      <c r="BR613" s="1477"/>
      <c r="BS613" s="1392">
        <f t="shared" si="6"/>
        <v>0</v>
      </c>
      <c r="BT613" s="1392"/>
      <c r="BU613" s="1392"/>
      <c r="BV613" s="1392"/>
      <c r="BW613" s="1392"/>
      <c r="BX613" s="1392">
        <f t="shared" si="7"/>
        <v>0</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711">
        <f t="shared" si="11"/>
        <v>0</v>
      </c>
      <c r="CT613" s="1711"/>
      <c r="CU613" s="1711"/>
      <c r="CV613" s="1711"/>
      <c r="CW613" s="1711"/>
      <c r="CX613" s="1711">
        <f t="shared" si="12"/>
        <v>0</v>
      </c>
      <c r="CY613" s="1711"/>
      <c r="CZ613" s="1711"/>
      <c r="DA613" s="1711"/>
      <c r="DB613" s="1711"/>
      <c r="DC613" s="1711">
        <f t="shared" si="13"/>
        <v>0</v>
      </c>
      <c r="DD613" s="1711"/>
      <c r="DE613" s="1711"/>
      <c r="DF613" s="1711"/>
      <c r="DG613" s="1711"/>
      <c r="DH613" s="1711">
        <f t="shared" si="14"/>
        <v>0</v>
      </c>
      <c r="DI613" s="1711"/>
      <c r="DJ613" s="1711"/>
      <c r="DK613" s="1711"/>
      <c r="DL613" s="1711"/>
      <c r="DM613" s="1711">
        <f t="shared" si="15"/>
        <v>0</v>
      </c>
      <c r="DN613" s="1711"/>
      <c r="DO613" s="1711"/>
      <c r="DP613" s="1711"/>
      <c r="DQ613" s="1711"/>
      <c r="DR613" s="1711">
        <f t="shared" si="16"/>
        <v>0</v>
      </c>
      <c r="DS613" s="1711"/>
      <c r="DT613" s="1711"/>
      <c r="DU613" s="1711"/>
      <c r="DV613" s="1711"/>
      <c r="DX613" s="1416" t="str">
        <f t="shared" si="17"/>
        <v xml:space="preserve"> </v>
      </c>
      <c r="DY613" s="1857"/>
      <c r="DZ613" s="1857"/>
      <c r="EA613" s="1857"/>
      <c r="EB613" s="1417"/>
      <c r="EC613" s="1416" t="str">
        <f t="shared" si="18"/>
        <v xml:space="preserve"> </v>
      </c>
      <c r="ED613" s="1857"/>
      <c r="EE613" s="1857"/>
      <c r="EF613" s="1857"/>
      <c r="EG613" s="1417"/>
      <c r="EH613" s="1416" t="str">
        <f t="shared" si="19"/>
        <v xml:space="preserve"> </v>
      </c>
      <c r="EI613" s="1857"/>
      <c r="EJ613" s="1857"/>
      <c r="EK613" s="1857"/>
      <c r="EL613" s="1417"/>
      <c r="EM613" s="1416" t="str">
        <f t="shared" si="20"/>
        <v xml:space="preserve"> </v>
      </c>
      <c r="EN613" s="1857"/>
      <c r="EO613" s="1857"/>
      <c r="EP613" s="1857"/>
      <c r="EQ613" s="1417"/>
      <c r="ER613" s="1416" t="str">
        <f t="shared" si="21"/>
        <v xml:space="preserve"> </v>
      </c>
      <c r="ES613" s="1857"/>
      <c r="ET613" s="1857"/>
      <c r="EU613" s="1857"/>
      <c r="EV613" s="1417"/>
      <c r="EW613" s="1416" t="str">
        <f t="shared" si="22"/>
        <v xml:space="preserve"> </v>
      </c>
      <c r="EX613" s="1857"/>
      <c r="EY613" s="1857"/>
      <c r="EZ613" s="1857"/>
      <c r="FA613" s="1417"/>
    </row>
    <row r="614" spans="1:157" ht="12.95" customHeight="1">
      <c r="A614" s="1272"/>
      <c r="B614" s="1272"/>
      <c r="C614" s="1272"/>
      <c r="D614" s="1272"/>
      <c r="E614" s="1272"/>
      <c r="F614" s="1272"/>
      <c r="G614" s="1272"/>
      <c r="H614" s="1272"/>
      <c r="I614" s="1272"/>
      <c r="J614" s="1272"/>
      <c r="K614" s="1272"/>
      <c r="L614" s="1272"/>
      <c r="M614" s="1272"/>
      <c r="N614" s="1272"/>
      <c r="O614" s="1272"/>
      <c r="P614" s="1272"/>
      <c r="Q614" s="1272"/>
      <c r="R614" s="1272"/>
      <c r="S614" s="1272"/>
      <c r="T614" s="1272"/>
      <c r="U614" s="1272"/>
      <c r="V614" s="1272"/>
      <c r="W614" s="1272"/>
      <c r="X614" s="1272"/>
      <c r="Y614" s="1272"/>
      <c r="Z614" s="1272"/>
      <c r="AA614" s="1272"/>
      <c r="AB614" s="1272"/>
      <c r="AC614" s="1272"/>
      <c r="AD614" s="1272"/>
      <c r="AE614" s="1272"/>
      <c r="AF614" s="1272"/>
      <c r="AG614" s="1272"/>
      <c r="AH614" s="1272"/>
      <c r="AI614" s="1272"/>
      <c r="AJ614" s="1272"/>
      <c r="AK614" s="1272"/>
      <c r="AL614" s="1272"/>
      <c r="AM614" s="1272"/>
      <c r="AN614" s="1272"/>
      <c r="AO614" s="1272"/>
      <c r="AP614" s="1272"/>
      <c r="AQ614" s="1272"/>
      <c r="AR614" s="1272"/>
      <c r="AS614" s="1272"/>
      <c r="AT614" s="933"/>
      <c r="AU614" s="933"/>
      <c r="AV614" s="933"/>
      <c r="AW614" s="933"/>
      <c r="AX614" s="933"/>
      <c r="AY614" s="933"/>
      <c r="AZ614" s="3"/>
      <c r="BA614" s="3"/>
      <c r="BB614" s="3"/>
      <c r="BC614" s="3"/>
      <c r="BD614" s="3"/>
      <c r="BE614" s="1416">
        <f t="shared" si="1"/>
        <v>0</v>
      </c>
      <c r="BF614" s="1417"/>
      <c r="BG614" s="1473">
        <f t="shared" si="2"/>
        <v>0</v>
      </c>
      <c r="BH614" s="1474"/>
      <c r="BI614" s="1416">
        <f t="shared" si="3"/>
        <v>0</v>
      </c>
      <c r="BJ614" s="1417"/>
      <c r="BK614" s="1473">
        <f t="shared" si="4"/>
        <v>0</v>
      </c>
      <c r="BL614" s="1474"/>
      <c r="BM614" s="3"/>
      <c r="BN614" s="1475">
        <f t="shared" si="5"/>
        <v>0</v>
      </c>
      <c r="BO614" s="1476"/>
      <c r="BP614" s="1476"/>
      <c r="BQ614" s="1476"/>
      <c r="BR614" s="1477"/>
      <c r="BS614" s="1392">
        <f t="shared" si="6"/>
        <v>0</v>
      </c>
      <c r="BT614" s="1392"/>
      <c r="BU614" s="1392"/>
      <c r="BV614" s="1392"/>
      <c r="BW614" s="1392"/>
      <c r="BX614" s="1392">
        <f t="shared" si="7"/>
        <v>0</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711">
        <f t="shared" si="11"/>
        <v>0</v>
      </c>
      <c r="CT614" s="1711"/>
      <c r="CU614" s="1711"/>
      <c r="CV614" s="1711"/>
      <c r="CW614" s="1711"/>
      <c r="CX614" s="1711">
        <f t="shared" si="12"/>
        <v>0</v>
      </c>
      <c r="CY614" s="1711"/>
      <c r="CZ614" s="1711"/>
      <c r="DA614" s="1711"/>
      <c r="DB614" s="1711"/>
      <c r="DC614" s="1711">
        <f t="shared" si="13"/>
        <v>0</v>
      </c>
      <c r="DD614" s="1711"/>
      <c r="DE614" s="1711"/>
      <c r="DF614" s="1711"/>
      <c r="DG614" s="1711"/>
      <c r="DH614" s="1711">
        <f t="shared" si="14"/>
        <v>0</v>
      </c>
      <c r="DI614" s="1711"/>
      <c r="DJ614" s="1711"/>
      <c r="DK614" s="1711"/>
      <c r="DL614" s="1711"/>
      <c r="DM614" s="1711">
        <f t="shared" si="15"/>
        <v>0</v>
      </c>
      <c r="DN614" s="1711"/>
      <c r="DO614" s="1711"/>
      <c r="DP614" s="1711"/>
      <c r="DQ614" s="1711"/>
      <c r="DR614" s="1711">
        <f t="shared" si="16"/>
        <v>0</v>
      </c>
      <c r="DS614" s="1711"/>
      <c r="DT614" s="1711"/>
      <c r="DU614" s="1711"/>
      <c r="DV614" s="1711"/>
      <c r="DX614" s="1416" t="str">
        <f t="shared" si="17"/>
        <v xml:space="preserve"> </v>
      </c>
      <c r="DY614" s="1857"/>
      <c r="DZ614" s="1857"/>
      <c r="EA614" s="1857"/>
      <c r="EB614" s="1417"/>
      <c r="EC614" s="1416" t="str">
        <f t="shared" si="18"/>
        <v xml:space="preserve"> </v>
      </c>
      <c r="ED614" s="1857"/>
      <c r="EE614" s="1857"/>
      <c r="EF614" s="1857"/>
      <c r="EG614" s="1417"/>
      <c r="EH614" s="1416" t="str">
        <f t="shared" si="19"/>
        <v xml:space="preserve"> </v>
      </c>
      <c r="EI614" s="1857"/>
      <c r="EJ614" s="1857"/>
      <c r="EK614" s="1857"/>
      <c r="EL614" s="1417"/>
      <c r="EM614" s="1416" t="str">
        <f t="shared" si="20"/>
        <v xml:space="preserve"> </v>
      </c>
      <c r="EN614" s="1857"/>
      <c r="EO614" s="1857"/>
      <c r="EP614" s="1857"/>
      <c r="EQ614" s="1417"/>
      <c r="ER614" s="1416" t="str">
        <f t="shared" si="21"/>
        <v xml:space="preserve"> </v>
      </c>
      <c r="ES614" s="1857"/>
      <c r="ET614" s="1857"/>
      <c r="EU614" s="1857"/>
      <c r="EV614" s="1417"/>
      <c r="EW614" s="1416" t="str">
        <f t="shared" si="22"/>
        <v xml:space="preserve"> </v>
      </c>
      <c r="EX614" s="1857"/>
      <c r="EY614" s="1857"/>
      <c r="EZ614" s="1857"/>
      <c r="FA614" s="1417"/>
    </row>
    <row r="615" spans="1:157" ht="12.95" customHeight="1">
      <c r="AZ615" s="3"/>
      <c r="BA615" s="3"/>
      <c r="BB615" s="3"/>
      <c r="BC615" s="3"/>
      <c r="BD615" s="3"/>
      <c r="BE615" s="1416">
        <f t="shared" si="1"/>
        <v>0</v>
      </c>
      <c r="BF615" s="1417"/>
      <c r="BG615" s="1473">
        <f t="shared" si="2"/>
        <v>0</v>
      </c>
      <c r="BH615" s="1474"/>
      <c r="BI615" s="1416">
        <f t="shared" si="3"/>
        <v>0</v>
      </c>
      <c r="BJ615" s="1417"/>
      <c r="BK615" s="1473">
        <f t="shared" si="4"/>
        <v>0</v>
      </c>
      <c r="BL615" s="1474"/>
      <c r="BM615" s="3"/>
      <c r="BN615" s="1475">
        <f t="shared" si="5"/>
        <v>0</v>
      </c>
      <c r="BO615" s="1476"/>
      <c r="BP615" s="1476"/>
      <c r="BQ615" s="1476"/>
      <c r="BR615" s="1477"/>
      <c r="BS615" s="1392">
        <f t="shared" si="6"/>
        <v>0</v>
      </c>
      <c r="BT615" s="1392"/>
      <c r="BU615" s="1392"/>
      <c r="BV615" s="1392"/>
      <c r="BW615" s="1392"/>
      <c r="BX615" s="1392">
        <f t="shared" si="7"/>
        <v>0</v>
      </c>
      <c r="BY615" s="1392"/>
      <c r="BZ615" s="1392"/>
      <c r="CA615" s="1392"/>
      <c r="CB615" s="1392"/>
      <c r="CC615" s="1392">
        <f t="shared" si="8"/>
        <v>0</v>
      </c>
      <c r="CD615" s="1392"/>
      <c r="CE615" s="1392"/>
      <c r="CF615" s="1392"/>
      <c r="CG615" s="1392"/>
      <c r="CH615" s="1392">
        <f t="shared" si="9"/>
        <v>0</v>
      </c>
      <c r="CI615" s="1392"/>
      <c r="CJ615" s="1392"/>
      <c r="CK615" s="1392"/>
      <c r="CL615" s="1392"/>
      <c r="CM615" s="1392">
        <f t="shared" si="10"/>
        <v>0</v>
      </c>
      <c r="CN615" s="1392"/>
      <c r="CO615" s="1392"/>
      <c r="CP615" s="1392"/>
      <c r="CQ615" s="1392"/>
      <c r="CR615" s="6"/>
      <c r="CS615" s="1711">
        <f t="shared" si="11"/>
        <v>0</v>
      </c>
      <c r="CT615" s="1711"/>
      <c r="CU615" s="1711"/>
      <c r="CV615" s="1711"/>
      <c r="CW615" s="1711"/>
      <c r="CX615" s="1711">
        <f t="shared" si="12"/>
        <v>0</v>
      </c>
      <c r="CY615" s="1711"/>
      <c r="CZ615" s="1711"/>
      <c r="DA615" s="1711"/>
      <c r="DB615" s="1711"/>
      <c r="DC615" s="1711">
        <f t="shared" si="13"/>
        <v>0</v>
      </c>
      <c r="DD615" s="1711"/>
      <c r="DE615" s="1711"/>
      <c r="DF615" s="1711"/>
      <c r="DG615" s="1711"/>
      <c r="DH615" s="1711">
        <f t="shared" si="14"/>
        <v>0</v>
      </c>
      <c r="DI615" s="1711"/>
      <c r="DJ615" s="1711"/>
      <c r="DK615" s="1711"/>
      <c r="DL615" s="1711"/>
      <c r="DM615" s="1711">
        <f t="shared" si="15"/>
        <v>0</v>
      </c>
      <c r="DN615" s="1711"/>
      <c r="DO615" s="1711"/>
      <c r="DP615" s="1711"/>
      <c r="DQ615" s="1711"/>
      <c r="DR615" s="1711">
        <f t="shared" si="16"/>
        <v>0</v>
      </c>
      <c r="DS615" s="1711"/>
      <c r="DT615" s="1711"/>
      <c r="DU615" s="1711"/>
      <c r="DV615" s="1711"/>
      <c r="DX615" s="1416" t="str">
        <f t="shared" si="17"/>
        <v xml:space="preserve"> </v>
      </c>
      <c r="DY615" s="1857"/>
      <c r="DZ615" s="1857"/>
      <c r="EA615" s="1857"/>
      <c r="EB615" s="1417"/>
      <c r="EC615" s="1416" t="str">
        <f t="shared" si="18"/>
        <v xml:space="preserve"> </v>
      </c>
      <c r="ED615" s="1857"/>
      <c r="EE615" s="1857"/>
      <c r="EF615" s="1857"/>
      <c r="EG615" s="1417"/>
      <c r="EH615" s="1416" t="str">
        <f t="shared" si="19"/>
        <v xml:space="preserve"> </v>
      </c>
      <c r="EI615" s="1857"/>
      <c r="EJ615" s="1857"/>
      <c r="EK615" s="1857"/>
      <c r="EL615" s="1417"/>
      <c r="EM615" s="1416" t="str">
        <f t="shared" si="20"/>
        <v xml:space="preserve"> </v>
      </c>
      <c r="EN615" s="1857"/>
      <c r="EO615" s="1857"/>
      <c r="EP615" s="1857"/>
      <c r="EQ615" s="1417"/>
      <c r="ER615" s="1416" t="str">
        <f t="shared" si="21"/>
        <v xml:space="preserve"> </v>
      </c>
      <c r="ES615" s="1857"/>
      <c r="ET615" s="1857"/>
      <c r="EU615" s="1857"/>
      <c r="EV615" s="1417"/>
      <c r="EW615" s="1416" t="str">
        <f t="shared" si="22"/>
        <v xml:space="preserve"> </v>
      </c>
      <c r="EX615" s="1857"/>
      <c r="EY615" s="1857"/>
      <c r="EZ615" s="1857"/>
      <c r="FA615" s="1417"/>
    </row>
    <row r="616" spans="1:157" ht="12.95" customHeight="1">
      <c r="A616" s="2" t="s">
        <v>321</v>
      </c>
      <c r="B616" s="2"/>
      <c r="C616" s="2" t="s">
        <v>21</v>
      </c>
      <c r="AZ616" s="3"/>
      <c r="BA616" s="3"/>
      <c r="BB616" s="3"/>
      <c r="BC616" s="3"/>
      <c r="BD616" s="3"/>
      <c r="BE616" s="1416">
        <f t="shared" si="1"/>
        <v>0</v>
      </c>
      <c r="BF616" s="1417"/>
      <c r="BG616" s="1473">
        <f t="shared" si="2"/>
        <v>0</v>
      </c>
      <c r="BH616" s="1474"/>
      <c r="BI616" s="1416">
        <f t="shared" si="3"/>
        <v>0</v>
      </c>
      <c r="BJ616" s="1417"/>
      <c r="BK616" s="1473">
        <f t="shared" si="4"/>
        <v>0</v>
      </c>
      <c r="BL616" s="1474"/>
      <c r="BM616" s="3"/>
      <c r="BN616" s="1475">
        <f t="shared" si="5"/>
        <v>0</v>
      </c>
      <c r="BO616" s="1476"/>
      <c r="BP616" s="1476"/>
      <c r="BQ616" s="1476"/>
      <c r="BR616" s="1477"/>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711">
        <f t="shared" si="11"/>
        <v>0</v>
      </c>
      <c r="CT616" s="1711"/>
      <c r="CU616" s="1711"/>
      <c r="CV616" s="1711"/>
      <c r="CW616" s="1711"/>
      <c r="CX616" s="1711">
        <f t="shared" si="12"/>
        <v>0</v>
      </c>
      <c r="CY616" s="1711"/>
      <c r="CZ616" s="1711"/>
      <c r="DA616" s="1711"/>
      <c r="DB616" s="1711"/>
      <c r="DC616" s="1711">
        <f t="shared" si="13"/>
        <v>0</v>
      </c>
      <c r="DD616" s="1711"/>
      <c r="DE616" s="1711"/>
      <c r="DF616" s="1711"/>
      <c r="DG616" s="1711"/>
      <c r="DH616" s="1711">
        <f t="shared" si="14"/>
        <v>0</v>
      </c>
      <c r="DI616" s="1711"/>
      <c r="DJ616" s="1711"/>
      <c r="DK616" s="1711"/>
      <c r="DL616" s="1711"/>
      <c r="DM616" s="1711">
        <f t="shared" si="15"/>
        <v>0</v>
      </c>
      <c r="DN616" s="1711"/>
      <c r="DO616" s="1711"/>
      <c r="DP616" s="1711"/>
      <c r="DQ616" s="1711"/>
      <c r="DR616" s="1711">
        <f t="shared" si="16"/>
        <v>0</v>
      </c>
      <c r="DS616" s="1711"/>
      <c r="DT616" s="1711"/>
      <c r="DU616" s="1711"/>
      <c r="DV616" s="1711"/>
      <c r="DX616" s="1416" t="str">
        <f t="shared" si="17"/>
        <v xml:space="preserve"> </v>
      </c>
      <c r="DY616" s="1857"/>
      <c r="DZ616" s="1857"/>
      <c r="EA616" s="1857"/>
      <c r="EB616" s="1417"/>
      <c r="EC616" s="1416" t="str">
        <f t="shared" si="18"/>
        <v xml:space="preserve"> </v>
      </c>
      <c r="ED616" s="1857"/>
      <c r="EE616" s="1857"/>
      <c r="EF616" s="1857"/>
      <c r="EG616" s="1417"/>
      <c r="EH616" s="1416" t="str">
        <f t="shared" si="19"/>
        <v xml:space="preserve"> </v>
      </c>
      <c r="EI616" s="1857"/>
      <c r="EJ616" s="1857"/>
      <c r="EK616" s="1857"/>
      <c r="EL616" s="1417"/>
      <c r="EM616" s="1416" t="str">
        <f t="shared" si="20"/>
        <v xml:space="preserve"> </v>
      </c>
      <c r="EN616" s="1857"/>
      <c r="EO616" s="1857"/>
      <c r="EP616" s="1857"/>
      <c r="EQ616" s="1417"/>
      <c r="ER616" s="1416" t="str">
        <f t="shared" si="21"/>
        <v xml:space="preserve"> </v>
      </c>
      <c r="ES616" s="1857"/>
      <c r="ET616" s="1857"/>
      <c r="EU616" s="1857"/>
      <c r="EV616" s="1417"/>
      <c r="EW616" s="1416" t="str">
        <f t="shared" si="22"/>
        <v xml:space="preserve"> </v>
      </c>
      <c r="EX616" s="1857"/>
      <c r="EY616" s="1857"/>
      <c r="EZ616" s="1857"/>
      <c r="FA616" s="1417"/>
    </row>
    <row r="617" spans="1:157" ht="12.95" customHeight="1">
      <c r="A617" s="2"/>
      <c r="B617" s="2"/>
      <c r="C617" s="2"/>
      <c r="AZ617" s="3"/>
      <c r="BA617" s="3"/>
      <c r="BB617" s="3"/>
      <c r="BC617" s="3"/>
      <c r="BD617" s="3"/>
      <c r="BE617" s="1416">
        <f t="shared" si="1"/>
        <v>0</v>
      </c>
      <c r="BF617" s="1417"/>
      <c r="BG617" s="1473">
        <f t="shared" si="2"/>
        <v>0</v>
      </c>
      <c r="BH617" s="1474"/>
      <c r="BI617" s="1416">
        <f t="shared" si="3"/>
        <v>0</v>
      </c>
      <c r="BJ617" s="1417"/>
      <c r="BK617" s="1473">
        <f t="shared" si="4"/>
        <v>0</v>
      </c>
      <c r="BL617" s="1474"/>
      <c r="BM617" s="3"/>
      <c r="BN617" s="1475">
        <f t="shared" si="5"/>
        <v>0</v>
      </c>
      <c r="BO617" s="1476"/>
      <c r="BP617" s="1476"/>
      <c r="BQ617" s="1476"/>
      <c r="BR617" s="1477"/>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711">
        <f t="shared" si="11"/>
        <v>0</v>
      </c>
      <c r="CT617" s="1711"/>
      <c r="CU617" s="1711"/>
      <c r="CV617" s="1711"/>
      <c r="CW617" s="1711"/>
      <c r="CX617" s="1711">
        <f t="shared" si="12"/>
        <v>0</v>
      </c>
      <c r="CY617" s="1711"/>
      <c r="CZ617" s="1711"/>
      <c r="DA617" s="1711"/>
      <c r="DB617" s="1711"/>
      <c r="DC617" s="1711">
        <f t="shared" si="13"/>
        <v>0</v>
      </c>
      <c r="DD617" s="1711"/>
      <c r="DE617" s="1711"/>
      <c r="DF617" s="1711"/>
      <c r="DG617" s="1711"/>
      <c r="DH617" s="1711">
        <f t="shared" si="14"/>
        <v>0</v>
      </c>
      <c r="DI617" s="1711"/>
      <c r="DJ617" s="1711"/>
      <c r="DK617" s="1711"/>
      <c r="DL617" s="1711"/>
      <c r="DM617" s="1711">
        <f t="shared" si="15"/>
        <v>0</v>
      </c>
      <c r="DN617" s="1711"/>
      <c r="DO617" s="1711"/>
      <c r="DP617" s="1711"/>
      <c r="DQ617" s="1711"/>
      <c r="DR617" s="1711">
        <f t="shared" si="16"/>
        <v>0</v>
      </c>
      <c r="DS617" s="1711"/>
      <c r="DT617" s="1711"/>
      <c r="DU617" s="1711"/>
      <c r="DV617" s="1711"/>
      <c r="DX617" s="1416" t="str">
        <f t="shared" si="17"/>
        <v xml:space="preserve"> </v>
      </c>
      <c r="DY617" s="1857"/>
      <c r="DZ617" s="1857"/>
      <c r="EA617" s="1857"/>
      <c r="EB617" s="1417"/>
      <c r="EC617" s="1416" t="str">
        <f t="shared" si="18"/>
        <v xml:space="preserve"> </v>
      </c>
      <c r="ED617" s="1857"/>
      <c r="EE617" s="1857"/>
      <c r="EF617" s="1857"/>
      <c r="EG617" s="1417"/>
      <c r="EH617" s="1416" t="str">
        <f t="shared" si="19"/>
        <v xml:space="preserve"> </v>
      </c>
      <c r="EI617" s="1857"/>
      <c r="EJ617" s="1857"/>
      <c r="EK617" s="1857"/>
      <c r="EL617" s="1417"/>
      <c r="EM617" s="1416" t="str">
        <f t="shared" si="20"/>
        <v xml:space="preserve"> </v>
      </c>
      <c r="EN617" s="1857"/>
      <c r="EO617" s="1857"/>
      <c r="EP617" s="1857"/>
      <c r="EQ617" s="1417"/>
      <c r="ER617" s="1416" t="str">
        <f t="shared" si="21"/>
        <v xml:space="preserve"> </v>
      </c>
      <c r="ES617" s="1857"/>
      <c r="ET617" s="1857"/>
      <c r="EU617" s="1857"/>
      <c r="EV617" s="1417"/>
      <c r="EW617" s="1416" t="str">
        <f t="shared" si="22"/>
        <v xml:space="preserve"> </v>
      </c>
      <c r="EX617" s="1857"/>
      <c r="EY617" s="1857"/>
      <c r="EZ617" s="1857"/>
      <c r="FA617" s="1417"/>
    </row>
    <row r="618" spans="1:157" ht="12.95" customHeight="1">
      <c r="C618" s="2" t="s">
        <v>2521</v>
      </c>
      <c r="AZ618" s="3"/>
      <c r="BA618" s="3"/>
      <c r="BB618" s="3"/>
      <c r="BC618" s="3"/>
      <c r="BD618" s="3"/>
      <c r="BE618" s="1416">
        <f t="shared" si="1"/>
        <v>0</v>
      </c>
      <c r="BF618" s="1417"/>
      <c r="BG618" s="1473">
        <f t="shared" si="2"/>
        <v>0</v>
      </c>
      <c r="BH618" s="1474"/>
      <c r="BI618" s="1416">
        <f t="shared" si="3"/>
        <v>0</v>
      </c>
      <c r="BJ618" s="1417"/>
      <c r="BK618" s="1473">
        <f t="shared" si="4"/>
        <v>0</v>
      </c>
      <c r="BL618" s="1474"/>
      <c r="BM618" s="3"/>
      <c r="BN618" s="1475">
        <f t="shared" si="5"/>
        <v>0</v>
      </c>
      <c r="BO618" s="1476"/>
      <c r="BP618" s="1476"/>
      <c r="BQ618" s="1476"/>
      <c r="BR618" s="1477"/>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711">
        <f t="shared" si="11"/>
        <v>0</v>
      </c>
      <c r="CT618" s="1711"/>
      <c r="CU618" s="1711"/>
      <c r="CV618" s="1711"/>
      <c r="CW618" s="1711"/>
      <c r="CX618" s="1711">
        <f t="shared" si="12"/>
        <v>0</v>
      </c>
      <c r="CY618" s="1711"/>
      <c r="CZ618" s="1711"/>
      <c r="DA618" s="1711"/>
      <c r="DB618" s="1711"/>
      <c r="DC618" s="1711">
        <f t="shared" si="13"/>
        <v>0</v>
      </c>
      <c r="DD618" s="1711"/>
      <c r="DE618" s="1711"/>
      <c r="DF618" s="1711"/>
      <c r="DG618" s="1711"/>
      <c r="DH618" s="1711">
        <f t="shared" si="14"/>
        <v>0</v>
      </c>
      <c r="DI618" s="1711"/>
      <c r="DJ618" s="1711"/>
      <c r="DK618" s="1711"/>
      <c r="DL618" s="1711"/>
      <c r="DM618" s="1711">
        <f t="shared" si="15"/>
        <v>0</v>
      </c>
      <c r="DN618" s="1711"/>
      <c r="DO618" s="1711"/>
      <c r="DP618" s="1711"/>
      <c r="DQ618" s="1711"/>
      <c r="DR618" s="1711">
        <f t="shared" si="16"/>
        <v>0</v>
      </c>
      <c r="DS618" s="1711"/>
      <c r="DT618" s="1711"/>
      <c r="DU618" s="1711"/>
      <c r="DV618" s="1711"/>
      <c r="DX618" s="1416" t="str">
        <f t="shared" si="17"/>
        <v xml:space="preserve"> </v>
      </c>
      <c r="DY618" s="1857"/>
      <c r="DZ618" s="1857"/>
      <c r="EA618" s="1857"/>
      <c r="EB618" s="1417"/>
      <c r="EC618" s="1416" t="str">
        <f t="shared" si="18"/>
        <v xml:space="preserve"> </v>
      </c>
      <c r="ED618" s="1857"/>
      <c r="EE618" s="1857"/>
      <c r="EF618" s="1857"/>
      <c r="EG618" s="1417"/>
      <c r="EH618" s="1416" t="str">
        <f t="shared" si="19"/>
        <v xml:space="preserve"> </v>
      </c>
      <c r="EI618" s="1857"/>
      <c r="EJ618" s="1857"/>
      <c r="EK618" s="1857"/>
      <c r="EL618" s="1417"/>
      <c r="EM618" s="1416" t="str">
        <f t="shared" si="20"/>
        <v xml:space="preserve"> </v>
      </c>
      <c r="EN618" s="1857"/>
      <c r="EO618" s="1857"/>
      <c r="EP618" s="1857"/>
      <c r="EQ618" s="1417"/>
      <c r="ER618" s="1416" t="str">
        <f t="shared" si="21"/>
        <v xml:space="preserve"> </v>
      </c>
      <c r="ES618" s="1857"/>
      <c r="ET618" s="1857"/>
      <c r="EU618" s="1857"/>
      <c r="EV618" s="1417"/>
      <c r="EW618" s="1416" t="str">
        <f t="shared" si="22"/>
        <v xml:space="preserve"> </v>
      </c>
      <c r="EX618" s="1857"/>
      <c r="EY618" s="1857"/>
      <c r="EZ618" s="1857"/>
      <c r="FA618" s="1417"/>
    </row>
    <row r="619" spans="1:157" ht="12.95" customHeight="1">
      <c r="B619" s="547"/>
      <c r="C619" s="2"/>
      <c r="AZ619" s="3"/>
      <c r="BA619" s="3"/>
      <c r="BB619" s="3"/>
      <c r="BC619" s="3"/>
      <c r="BD619" s="3"/>
      <c r="BE619" s="1416">
        <f t="shared" si="1"/>
        <v>0</v>
      </c>
      <c r="BF619" s="1417"/>
      <c r="BG619" s="1473">
        <f t="shared" si="2"/>
        <v>0</v>
      </c>
      <c r="BH619" s="1474"/>
      <c r="BI619" s="1416">
        <f t="shared" si="3"/>
        <v>0</v>
      </c>
      <c r="BJ619" s="1417"/>
      <c r="BK619" s="1473">
        <f t="shared" si="4"/>
        <v>0</v>
      </c>
      <c r="BL619" s="1474"/>
      <c r="BM619" s="3"/>
      <c r="BN619" s="1475">
        <f t="shared" si="5"/>
        <v>0</v>
      </c>
      <c r="BO619" s="1476"/>
      <c r="BP619" s="1476"/>
      <c r="BQ619" s="1476"/>
      <c r="BR619" s="1477"/>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711">
        <f t="shared" si="11"/>
        <v>0</v>
      </c>
      <c r="CT619" s="1711"/>
      <c r="CU619" s="1711"/>
      <c r="CV619" s="1711"/>
      <c r="CW619" s="1711"/>
      <c r="CX619" s="1711">
        <f t="shared" si="12"/>
        <v>0</v>
      </c>
      <c r="CY619" s="1711"/>
      <c r="CZ619" s="1711"/>
      <c r="DA619" s="1711"/>
      <c r="DB619" s="1711"/>
      <c r="DC619" s="1711">
        <f t="shared" si="13"/>
        <v>0</v>
      </c>
      <c r="DD619" s="1711"/>
      <c r="DE619" s="1711"/>
      <c r="DF619" s="1711"/>
      <c r="DG619" s="1711"/>
      <c r="DH619" s="1711">
        <f t="shared" si="14"/>
        <v>0</v>
      </c>
      <c r="DI619" s="1711"/>
      <c r="DJ619" s="1711"/>
      <c r="DK619" s="1711"/>
      <c r="DL619" s="1711"/>
      <c r="DM619" s="1711">
        <f t="shared" si="15"/>
        <v>0</v>
      </c>
      <c r="DN619" s="1711"/>
      <c r="DO619" s="1711"/>
      <c r="DP619" s="1711"/>
      <c r="DQ619" s="1711"/>
      <c r="DR619" s="1711">
        <f t="shared" si="16"/>
        <v>0</v>
      </c>
      <c r="DS619" s="1711"/>
      <c r="DT619" s="1711"/>
      <c r="DU619" s="1711"/>
      <c r="DV619" s="1711"/>
      <c r="DX619" s="1416" t="str">
        <f t="shared" si="17"/>
        <v xml:space="preserve"> </v>
      </c>
      <c r="DY619" s="1857"/>
      <c r="DZ619" s="1857"/>
      <c r="EA619" s="1857"/>
      <c r="EB619" s="1417"/>
      <c r="EC619" s="1416" t="str">
        <f t="shared" si="18"/>
        <v xml:space="preserve"> </v>
      </c>
      <c r="ED619" s="1857"/>
      <c r="EE619" s="1857"/>
      <c r="EF619" s="1857"/>
      <c r="EG619" s="1417"/>
      <c r="EH619" s="1416" t="str">
        <f t="shared" si="19"/>
        <v xml:space="preserve"> </v>
      </c>
      <c r="EI619" s="1857"/>
      <c r="EJ619" s="1857"/>
      <c r="EK619" s="1857"/>
      <c r="EL619" s="1417"/>
      <c r="EM619" s="1416" t="str">
        <f t="shared" si="20"/>
        <v xml:space="preserve"> </v>
      </c>
      <c r="EN619" s="1857"/>
      <c r="EO619" s="1857"/>
      <c r="EP619" s="1857"/>
      <c r="EQ619" s="1417"/>
      <c r="ER619" s="1416" t="str">
        <f t="shared" si="21"/>
        <v xml:space="preserve"> </v>
      </c>
      <c r="ES619" s="1857"/>
      <c r="ET619" s="1857"/>
      <c r="EU619" s="1857"/>
      <c r="EV619" s="1417"/>
      <c r="EW619" s="1416" t="str">
        <f t="shared" si="22"/>
        <v xml:space="preserve"> </v>
      </c>
      <c r="EX619" s="1857"/>
      <c r="EY619" s="1857"/>
      <c r="EZ619" s="1857"/>
      <c r="FA619" s="1417"/>
    </row>
    <row r="620" spans="1:157" ht="12.95" customHeight="1">
      <c r="B620" s="1867" t="s">
        <v>2523</v>
      </c>
      <c r="C620" s="1867"/>
      <c r="D620" s="1867"/>
      <c r="E620" s="1867"/>
      <c r="F620" s="1867"/>
      <c r="G620" s="1867"/>
      <c r="H620" s="1867"/>
      <c r="I620" s="1867"/>
      <c r="J620" s="1867"/>
      <c r="K620" s="1867"/>
      <c r="L620" s="1867"/>
      <c r="M620" s="1519" t="s">
        <v>2524</v>
      </c>
      <c r="N620" s="1519"/>
      <c r="O620" s="1519"/>
      <c r="P620" s="1519"/>
      <c r="Q620" s="1519" t="s">
        <v>2117</v>
      </c>
      <c r="R620" s="1519"/>
      <c r="S620" s="1519"/>
      <c r="T620" s="1519" t="s">
        <v>2115</v>
      </c>
      <c r="U620" s="1519"/>
      <c r="V620" s="1519"/>
      <c r="W620" s="1866" t="s">
        <v>463</v>
      </c>
      <c r="X620" s="1866"/>
      <c r="Y620" s="1866"/>
      <c r="Z620" s="1406" t="s">
        <v>2553</v>
      </c>
      <c r="AA620" s="1406"/>
      <c r="AB620" s="1407"/>
      <c r="AC620" s="1747" t="s">
        <v>1937</v>
      </c>
      <c r="AD620" s="1748"/>
      <c r="AE620" s="1749"/>
      <c r="AF620" s="1405" t="s">
        <v>2310</v>
      </c>
      <c r="AG620" s="1406"/>
      <c r="AH620" s="1406"/>
      <c r="AI620" s="1406"/>
      <c r="AJ620" s="1407"/>
      <c r="AK620" s="1737" t="s">
        <v>2311</v>
      </c>
      <c r="AL620" s="1738"/>
      <c r="AM620" s="1738"/>
      <c r="AN620" s="1739"/>
      <c r="AO620" s="1519" t="s">
        <v>464</v>
      </c>
      <c r="AP620" s="1519"/>
      <c r="AQ620" s="1519"/>
      <c r="AR620" s="1519"/>
      <c r="AS620" s="1519"/>
      <c r="AZ620" s="3"/>
      <c r="BA620" s="3"/>
      <c r="BB620" s="3"/>
      <c r="BC620" s="3"/>
      <c r="BD620" s="3"/>
      <c r="BE620" s="1416">
        <f t="shared" si="1"/>
        <v>0</v>
      </c>
      <c r="BF620" s="1417"/>
      <c r="BG620" s="1473">
        <f t="shared" si="2"/>
        <v>0</v>
      </c>
      <c r="BH620" s="1474"/>
      <c r="BI620" s="1416">
        <f t="shared" si="3"/>
        <v>0</v>
      </c>
      <c r="BJ620" s="1417"/>
      <c r="BK620" s="1473">
        <f t="shared" si="4"/>
        <v>0</v>
      </c>
      <c r="BL620" s="1474"/>
      <c r="BM620" s="3"/>
      <c r="BN620" s="1475">
        <f t="shared" si="5"/>
        <v>0</v>
      </c>
      <c r="BO620" s="1476"/>
      <c r="BP620" s="1476"/>
      <c r="BQ620" s="1476"/>
      <c r="BR620" s="1477"/>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711">
        <f t="shared" si="11"/>
        <v>0</v>
      </c>
      <c r="CT620" s="1711"/>
      <c r="CU620" s="1711"/>
      <c r="CV620" s="1711"/>
      <c r="CW620" s="1711"/>
      <c r="CX620" s="1711">
        <f t="shared" si="12"/>
        <v>0</v>
      </c>
      <c r="CY620" s="1711"/>
      <c r="CZ620" s="1711"/>
      <c r="DA620" s="1711"/>
      <c r="DB620" s="1711"/>
      <c r="DC620" s="1711">
        <f t="shared" si="13"/>
        <v>0</v>
      </c>
      <c r="DD620" s="1711"/>
      <c r="DE620" s="1711"/>
      <c r="DF620" s="1711"/>
      <c r="DG620" s="1711"/>
      <c r="DH620" s="1711">
        <f t="shared" si="14"/>
        <v>0</v>
      </c>
      <c r="DI620" s="1711"/>
      <c r="DJ620" s="1711"/>
      <c r="DK620" s="1711"/>
      <c r="DL620" s="1711"/>
      <c r="DM620" s="1711">
        <f t="shared" si="15"/>
        <v>0</v>
      </c>
      <c r="DN620" s="1711"/>
      <c r="DO620" s="1711"/>
      <c r="DP620" s="1711"/>
      <c r="DQ620" s="1711"/>
      <c r="DR620" s="1711">
        <f t="shared" si="16"/>
        <v>0</v>
      </c>
      <c r="DS620" s="1711"/>
      <c r="DT620" s="1711"/>
      <c r="DU620" s="1711"/>
      <c r="DV620" s="1711"/>
      <c r="DX620" s="1416" t="str">
        <f t="shared" si="17"/>
        <v xml:space="preserve"> </v>
      </c>
      <c r="DY620" s="1857"/>
      <c r="DZ620" s="1857"/>
      <c r="EA620" s="1857"/>
      <c r="EB620" s="1417"/>
      <c r="EC620" s="1416" t="str">
        <f t="shared" si="18"/>
        <v xml:space="preserve"> </v>
      </c>
      <c r="ED620" s="1857"/>
      <c r="EE620" s="1857"/>
      <c r="EF620" s="1857"/>
      <c r="EG620" s="1417"/>
      <c r="EH620" s="1416" t="str">
        <f t="shared" si="19"/>
        <v xml:space="preserve"> </v>
      </c>
      <c r="EI620" s="1857"/>
      <c r="EJ620" s="1857"/>
      <c r="EK620" s="1857"/>
      <c r="EL620" s="1417"/>
      <c r="EM620" s="1416" t="str">
        <f t="shared" si="20"/>
        <v xml:space="preserve"> </v>
      </c>
      <c r="EN620" s="1857"/>
      <c r="EO620" s="1857"/>
      <c r="EP620" s="1857"/>
      <c r="EQ620" s="1417"/>
      <c r="ER620" s="1416" t="str">
        <f t="shared" si="21"/>
        <v xml:space="preserve"> </v>
      </c>
      <c r="ES620" s="1857"/>
      <c r="ET620" s="1857"/>
      <c r="EU620" s="1857"/>
      <c r="EV620" s="1417"/>
      <c r="EW620" s="1416" t="str">
        <f t="shared" si="22"/>
        <v xml:space="preserve"> </v>
      </c>
      <c r="EX620" s="1857"/>
      <c r="EY620" s="1857"/>
      <c r="EZ620" s="1857"/>
      <c r="FA620" s="1417"/>
    </row>
    <row r="621" spans="1:157" ht="12.95" customHeight="1">
      <c r="B621" s="1867"/>
      <c r="C621" s="1867"/>
      <c r="D621" s="1867"/>
      <c r="E621" s="1867"/>
      <c r="F621" s="1867"/>
      <c r="G621" s="1867"/>
      <c r="H621" s="1867"/>
      <c r="I621" s="1867"/>
      <c r="J621" s="1867"/>
      <c r="K621" s="1867"/>
      <c r="L621" s="1867"/>
      <c r="M621" s="1519"/>
      <c r="N621" s="1519"/>
      <c r="O621" s="1519"/>
      <c r="P621" s="1519"/>
      <c r="Q621" s="1519"/>
      <c r="R621" s="1519"/>
      <c r="S621" s="1519"/>
      <c r="T621" s="1519"/>
      <c r="U621" s="1519"/>
      <c r="V621" s="1519"/>
      <c r="W621" s="1866"/>
      <c r="X621" s="1866"/>
      <c r="Y621" s="1866"/>
      <c r="Z621" s="1409"/>
      <c r="AA621" s="1409"/>
      <c r="AB621" s="1410"/>
      <c r="AC621" s="1750"/>
      <c r="AD621" s="1751"/>
      <c r="AE621" s="1752"/>
      <c r="AF621" s="1408"/>
      <c r="AG621" s="1409"/>
      <c r="AH621" s="1409"/>
      <c r="AI621" s="1409"/>
      <c r="AJ621" s="1410"/>
      <c r="AK621" s="1740"/>
      <c r="AL621" s="1741"/>
      <c r="AM621" s="1741"/>
      <c r="AN621" s="1742"/>
      <c r="AO621" s="1519"/>
      <c r="AP621" s="1519"/>
      <c r="AQ621" s="1519"/>
      <c r="AR621" s="1519"/>
      <c r="AS621" s="1519"/>
      <c r="AZ621" s="3"/>
      <c r="BA621" s="3"/>
      <c r="BB621" s="3"/>
      <c r="BC621" s="3"/>
      <c r="BD621" s="3"/>
      <c r="BE621" s="3"/>
      <c r="BF621" s="3"/>
      <c r="BG621" s="1416">
        <f>SUM(BG596:BH620)</f>
        <v>29</v>
      </c>
      <c r="BH621" s="1417"/>
      <c r="BI621" s="3"/>
      <c r="BJ621" s="3"/>
      <c r="BK621" s="1416">
        <f>SUM(BK596:BL620)</f>
        <v>20</v>
      </c>
      <c r="BL621" s="1417"/>
      <c r="BM621" s="3"/>
      <c r="BN621" s="1416">
        <f>SUM(BN596:BR620)</f>
        <v>0</v>
      </c>
      <c r="BO621" s="1857"/>
      <c r="BP621" s="1857"/>
      <c r="BQ621" s="1857"/>
      <c r="BR621" s="1417"/>
      <c r="BS621" s="1702">
        <f>SUM(BS596:BW620)</f>
        <v>40</v>
      </c>
      <c r="BT621" s="1702"/>
      <c r="BU621" s="1702"/>
      <c r="BV621" s="1702"/>
      <c r="BW621" s="1702"/>
      <c r="BX621" s="1702">
        <f>SUM(BX596:CB620)</f>
        <v>77</v>
      </c>
      <c r="BY621" s="1702"/>
      <c r="BZ621" s="1702"/>
      <c r="CA621" s="1702"/>
      <c r="CB621" s="1702"/>
      <c r="CC621" s="1702">
        <f>SUM(CC596:CG620)</f>
        <v>78</v>
      </c>
      <c r="CD621" s="1702"/>
      <c r="CE621" s="1702"/>
      <c r="CF621" s="1702"/>
      <c r="CG621" s="1702"/>
      <c r="CH621" s="1702">
        <f>SUM(CH596:CL620)</f>
        <v>0</v>
      </c>
      <c r="CI621" s="1702"/>
      <c r="CJ621" s="1702"/>
      <c r="CK621" s="1702"/>
      <c r="CL621" s="1702"/>
      <c r="CM621" s="1702">
        <f>SUM(CM596:CQ620)</f>
        <v>0</v>
      </c>
      <c r="CN621" s="1702"/>
      <c r="CO621" s="1702"/>
      <c r="CP621" s="1702"/>
      <c r="CQ621" s="1702"/>
      <c r="CR621" s="386"/>
      <c r="CS621" s="1702">
        <f>SUM(CS596:CW620)</f>
        <v>0</v>
      </c>
      <c r="CT621" s="1702"/>
      <c r="CU621" s="1702"/>
      <c r="CV621" s="1702"/>
      <c r="CW621" s="1702"/>
      <c r="CX621" s="1702">
        <f>SUM(CX596:DB620)</f>
        <v>6</v>
      </c>
      <c r="CY621" s="1702"/>
      <c r="CZ621" s="1702"/>
      <c r="DA621" s="1702"/>
      <c r="DB621" s="1702"/>
      <c r="DC621" s="1702">
        <f>SUM(DC596:DG620)</f>
        <v>7</v>
      </c>
      <c r="DD621" s="1702"/>
      <c r="DE621" s="1702"/>
      <c r="DF621" s="1702"/>
      <c r="DG621" s="1702"/>
      <c r="DH621" s="1702">
        <f>SUM(DH596:DL620)</f>
        <v>7</v>
      </c>
      <c r="DI621" s="1702"/>
      <c r="DJ621" s="1702"/>
      <c r="DK621" s="1702"/>
      <c r="DL621" s="1702"/>
      <c r="DM621" s="1702">
        <f>SUM(DM596:DQ620)</f>
        <v>0</v>
      </c>
      <c r="DN621" s="1702"/>
      <c r="DO621" s="1702"/>
      <c r="DP621" s="1702"/>
      <c r="DQ621" s="1702"/>
      <c r="DR621" s="1702">
        <f>SUM(DR596:DV620)</f>
        <v>0</v>
      </c>
      <c r="DS621" s="1702"/>
      <c r="DT621" s="1702"/>
      <c r="DU621" s="1702"/>
      <c r="DV621" s="1702"/>
      <c r="DX621" s="1702">
        <f>SUM(DX596:EB620)</f>
        <v>0</v>
      </c>
      <c r="DY621" s="1702"/>
      <c r="DZ621" s="1702"/>
      <c r="EA621" s="1702"/>
      <c r="EB621" s="1702"/>
      <c r="EC621" s="1702">
        <f>SUM(EC596:EG620)</f>
        <v>4009</v>
      </c>
      <c r="ED621" s="1702"/>
      <c r="EE621" s="1702"/>
      <c r="EF621" s="1702"/>
      <c r="EG621" s="1702"/>
      <c r="EH621" s="1702">
        <f>SUM(EH596:EL620)</f>
        <v>4804</v>
      </c>
      <c r="EI621" s="1702"/>
      <c r="EJ621" s="1702"/>
      <c r="EK621" s="1702"/>
      <c r="EL621" s="1702"/>
      <c r="EM621" s="1702">
        <f>SUM(EM596:EQ620)</f>
        <v>5491</v>
      </c>
      <c r="EN621" s="1702"/>
      <c r="EO621" s="1702"/>
      <c r="EP621" s="1702"/>
      <c r="EQ621" s="1702"/>
      <c r="ER621" s="1702">
        <f>SUM(ER596:EV620)</f>
        <v>0</v>
      </c>
      <c r="ES621" s="1702"/>
      <c r="ET621" s="1702"/>
      <c r="EU621" s="1702"/>
      <c r="EV621" s="1702"/>
      <c r="EW621" s="1702">
        <f>SUM(EW596:FA620)</f>
        <v>0</v>
      </c>
      <c r="EX621" s="1702"/>
      <c r="EY621" s="1702"/>
      <c r="EZ621" s="1702"/>
      <c r="FA621" s="1702"/>
    </row>
    <row r="622" spans="1:157" ht="12.95" customHeight="1">
      <c r="B622" s="1867"/>
      <c r="C622" s="1867"/>
      <c r="D622" s="1867"/>
      <c r="E622" s="1867"/>
      <c r="F622" s="1867"/>
      <c r="G622" s="1867"/>
      <c r="H622" s="1867"/>
      <c r="I622" s="1867"/>
      <c r="J622" s="1867"/>
      <c r="K622" s="1867"/>
      <c r="L622" s="1867"/>
      <c r="M622" s="1519"/>
      <c r="N622" s="1519"/>
      <c r="O622" s="1519"/>
      <c r="P622" s="1519"/>
      <c r="Q622" s="1519"/>
      <c r="R622" s="1519"/>
      <c r="S622" s="1519"/>
      <c r="T622" s="1519"/>
      <c r="U622" s="1519"/>
      <c r="V622" s="1519"/>
      <c r="W622" s="1866"/>
      <c r="X622" s="1866"/>
      <c r="Y622" s="1866"/>
      <c r="Z622" s="1412"/>
      <c r="AA622" s="1412"/>
      <c r="AB622" s="1413"/>
      <c r="AC622" s="1753"/>
      <c r="AD622" s="1754"/>
      <c r="AE622" s="1755"/>
      <c r="AF622" s="1411"/>
      <c r="AG622" s="1412"/>
      <c r="AH622" s="1412"/>
      <c r="AI622" s="1412"/>
      <c r="AJ622" s="1413"/>
      <c r="AK622" s="1743"/>
      <c r="AL622" s="1744"/>
      <c r="AM622" s="1744"/>
      <c r="AN622" s="1745"/>
      <c r="AO622" s="1519"/>
      <c r="AP622" s="1519"/>
      <c r="AQ622" s="1519"/>
      <c r="AR622" s="1519"/>
      <c r="AS622" s="151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6">
        <f>BN621+BS621+BX621+CC621+CH621+CM621</f>
        <v>195</v>
      </c>
      <c r="CN622" s="1857"/>
      <c r="CO622" s="1857"/>
      <c r="CP622" s="1857"/>
      <c r="CQ622" s="1417"/>
      <c r="CR622" s="386"/>
      <c r="CS622" s="3"/>
      <c r="CT622" s="3"/>
      <c r="CU622" s="3"/>
      <c r="CV622" s="3"/>
      <c r="CW622" s="3"/>
      <c r="CX622" s="3"/>
      <c r="CY622" s="3"/>
      <c r="CZ622" s="3"/>
      <c r="DA622" s="3"/>
      <c r="DB622" s="3"/>
      <c r="DC622" s="3"/>
      <c r="DD622" s="3"/>
      <c r="DE622" s="3"/>
      <c r="DF622" s="3"/>
    </row>
    <row r="623" spans="1:157" ht="12.95" customHeight="1">
      <c r="B623" s="51" t="s">
        <v>113</v>
      </c>
      <c r="C623" s="1715" t="s">
        <v>2721</v>
      </c>
      <c r="D623" s="1715"/>
      <c r="E623" s="1715"/>
      <c r="F623" s="1715"/>
      <c r="G623" s="1715"/>
      <c r="H623" s="1715"/>
      <c r="I623" s="1715"/>
      <c r="J623" s="1715"/>
      <c r="K623" s="1715"/>
      <c r="L623" s="1715"/>
      <c r="M623" s="1862" t="s">
        <v>2540</v>
      </c>
      <c r="N623" s="1862"/>
      <c r="O623" s="1862"/>
      <c r="P623" s="1862"/>
      <c r="Q623" s="1558">
        <v>180</v>
      </c>
      <c r="R623" s="1558"/>
      <c r="S623" s="1869"/>
      <c r="T623" s="1868">
        <v>480</v>
      </c>
      <c r="U623" s="1558"/>
      <c r="V623" s="1869"/>
      <c r="W623" s="1863">
        <v>6.3E-2</v>
      </c>
      <c r="X623" s="1864"/>
      <c r="Y623" s="1865"/>
      <c r="Z623" s="1717" t="s">
        <v>2552</v>
      </c>
      <c r="AA623" s="1718"/>
      <c r="AB623" s="1719"/>
      <c r="AC623" s="1426">
        <v>1</v>
      </c>
      <c r="AD623" s="1427"/>
      <c r="AE623" s="1428"/>
      <c r="AF623" s="1581">
        <v>1927075</v>
      </c>
      <c r="AG623" s="1582"/>
      <c r="AH623" s="1582"/>
      <c r="AI623" s="1582"/>
      <c r="AJ623" s="1583"/>
      <c r="AK623" s="1708"/>
      <c r="AL623" s="1709"/>
      <c r="AM623" s="1709"/>
      <c r="AN623" s="1710"/>
      <c r="AO623" s="1609">
        <v>26950000</v>
      </c>
      <c r="AP623" s="1609"/>
      <c r="AQ623" s="1609"/>
      <c r="AR623" s="1609"/>
      <c r="AS623" s="1609"/>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40</v>
      </c>
      <c r="BX623" s="3"/>
      <c r="BY623" s="3"/>
      <c r="BZ623" s="3"/>
      <c r="CA623" s="3"/>
      <c r="CB623" s="897">
        <f>BX621*2</f>
        <v>154</v>
      </c>
      <c r="CC623" s="3"/>
      <c r="CD623" s="3"/>
      <c r="CE623" s="3"/>
      <c r="CF623" s="3"/>
      <c r="CG623" s="897">
        <f>CC621*3</f>
        <v>234</v>
      </c>
      <c r="CH623" s="3"/>
      <c r="CI623" s="3"/>
      <c r="CJ623" s="3"/>
      <c r="CK623" s="3"/>
      <c r="CL623" s="897">
        <f>CH621*4</f>
        <v>0</v>
      </c>
      <c r="CM623" s="3"/>
      <c r="CN623" s="3"/>
      <c r="CO623" s="3"/>
      <c r="CP623" s="3"/>
      <c r="CQ623" s="897">
        <f>CM621*5</f>
        <v>0</v>
      </c>
      <c r="CS623" s="897">
        <f>BR623+BW623+CB623+CG623+CL623+CQ623</f>
        <v>428</v>
      </c>
      <c r="CT623" s="57" t="s">
        <v>2127</v>
      </c>
      <c r="CU623" s="3"/>
      <c r="CV623" s="3"/>
      <c r="CW623" s="3"/>
      <c r="CX623" s="3"/>
      <c r="CY623" s="3"/>
      <c r="CZ623" s="3"/>
      <c r="DA623" s="3"/>
      <c r="DB623" s="3"/>
      <c r="DC623" s="3"/>
      <c r="DD623" s="3"/>
      <c r="DE623" s="3"/>
      <c r="DF623" s="3"/>
    </row>
    <row r="624" spans="1:157" ht="12.95" customHeight="1">
      <c r="B624" s="52" t="s">
        <v>114</v>
      </c>
      <c r="C624" s="1715" t="s">
        <v>2736</v>
      </c>
      <c r="D624" s="1715"/>
      <c r="E624" s="1715"/>
      <c r="F624" s="1715"/>
      <c r="G624" s="1715"/>
      <c r="H624" s="1715"/>
      <c r="I624" s="1715"/>
      <c r="J624" s="1715"/>
      <c r="K624" s="1715"/>
      <c r="L624" s="1715"/>
      <c r="M624" s="1862" t="s">
        <v>2534</v>
      </c>
      <c r="N624" s="1862"/>
      <c r="O624" s="1862"/>
      <c r="P624" s="1862"/>
      <c r="Q624" s="1868">
        <v>180</v>
      </c>
      <c r="R624" s="1558"/>
      <c r="S624" s="1869"/>
      <c r="T624" s="1868"/>
      <c r="U624" s="1558"/>
      <c r="V624" s="1869"/>
      <c r="W624" s="1863">
        <v>0.03</v>
      </c>
      <c r="X624" s="1864"/>
      <c r="Y624" s="1865"/>
      <c r="Z624" s="1717" t="s">
        <v>467</v>
      </c>
      <c r="AA624" s="1718"/>
      <c r="AB624" s="1719"/>
      <c r="AC624" s="1426">
        <v>2</v>
      </c>
      <c r="AD624" s="1427"/>
      <c r="AE624" s="1428"/>
      <c r="AF624" s="1581"/>
      <c r="AG624" s="1582"/>
      <c r="AH624" s="1582"/>
      <c r="AI624" s="1582"/>
      <c r="AJ624" s="1583"/>
      <c r="AK624" s="1708"/>
      <c r="AL624" s="1709"/>
      <c r="AM624" s="1709"/>
      <c r="AN624" s="1710"/>
      <c r="AO624" s="1599">
        <v>1600000</v>
      </c>
      <c r="AP624" s="1600"/>
      <c r="AQ624" s="1600"/>
      <c r="AR624" s="1600"/>
      <c r="AS624" s="1601"/>
      <c r="AT624" s="1198"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61" t="e">
        <f t="shared" ref="DX624:DX648" si="23">DX596*(BN596/$BN$621)</f>
        <v>#VALUE!</v>
      </c>
      <c r="DY624" s="1861"/>
      <c r="DZ624" s="1861"/>
      <c r="EA624" s="1861"/>
      <c r="EB624" s="1861"/>
      <c r="EC624" s="1861">
        <f t="shared" ref="EC624:EC648" si="24">EC596*(BS596/$BS$621)</f>
        <v>75</v>
      </c>
      <c r="ED624" s="1861"/>
      <c r="EE624" s="1861"/>
      <c r="EF624" s="1861"/>
      <c r="EG624" s="1861"/>
      <c r="EH624" s="1861" t="e">
        <f t="shared" ref="EH624:EH648" si="25">EH596*(BX596/$BX$621)</f>
        <v>#VALUE!</v>
      </c>
      <c r="EI624" s="1861"/>
      <c r="EJ624" s="1861"/>
      <c r="EK624" s="1861"/>
      <c r="EL624" s="1861"/>
      <c r="EM624" s="1861" t="e">
        <f t="shared" ref="EM624:EM648" si="26">EM596*(CC596/$CC$621)</f>
        <v>#VALUE!</v>
      </c>
      <c r="EN624" s="1861"/>
      <c r="EO624" s="1861"/>
      <c r="EP624" s="1861"/>
      <c r="EQ624" s="1861"/>
      <c r="ER624" s="1861" t="e">
        <f t="shared" ref="ER624:ER648" si="27">ER596*(CH596/$CH$621)</f>
        <v>#VALUE!</v>
      </c>
      <c r="ES624" s="1861"/>
      <c r="ET624" s="1861"/>
      <c r="EU624" s="1861"/>
      <c r="EV624" s="1861"/>
      <c r="EW624" s="1861" t="e">
        <f t="shared" ref="EW624:EW648" si="28">EW596*(CM596/$CM$621)</f>
        <v>#VALUE!</v>
      </c>
      <c r="EX624" s="1861"/>
      <c r="EY624" s="1861"/>
      <c r="EZ624" s="1861"/>
      <c r="FA624" s="1861"/>
    </row>
    <row r="625" spans="1:157" ht="12.95" customHeight="1">
      <c r="B625" s="52" t="s">
        <v>120</v>
      </c>
      <c r="C625" s="1715" t="s">
        <v>1923</v>
      </c>
      <c r="D625" s="1715"/>
      <c r="E625" s="1715"/>
      <c r="F625" s="1715"/>
      <c r="G625" s="1715"/>
      <c r="H625" s="1715"/>
      <c r="I625" s="1715"/>
      <c r="J625" s="1715"/>
      <c r="K625" s="1715"/>
      <c r="L625" s="1715"/>
      <c r="M625" s="1862" t="s">
        <v>2527</v>
      </c>
      <c r="N625" s="1862"/>
      <c r="O625" s="1862"/>
      <c r="P625" s="1862"/>
      <c r="Q625" s="1868">
        <v>180</v>
      </c>
      <c r="R625" s="1558"/>
      <c r="S625" s="1869"/>
      <c r="T625" s="1868"/>
      <c r="U625" s="1558"/>
      <c r="V625" s="1869"/>
      <c r="W625" s="1863"/>
      <c r="X625" s="1864"/>
      <c r="Y625" s="1865"/>
      <c r="Z625" s="1717" t="s">
        <v>467</v>
      </c>
      <c r="AA625" s="1718"/>
      <c r="AB625" s="1719"/>
      <c r="AC625" s="1426"/>
      <c r="AD625" s="1427"/>
      <c r="AE625" s="1428"/>
      <c r="AF625" s="1581"/>
      <c r="AG625" s="1582"/>
      <c r="AH625" s="1582"/>
      <c r="AI625" s="1582"/>
      <c r="AJ625" s="1583"/>
      <c r="AK625" s="1708"/>
      <c r="AL625" s="1709"/>
      <c r="AM625" s="1709"/>
      <c r="AN625" s="1710"/>
      <c r="AO625" s="1599">
        <v>4659545</v>
      </c>
      <c r="AP625" s="1600"/>
      <c r="AQ625" s="1600"/>
      <c r="AR625" s="1600"/>
      <c r="AS625" s="1601"/>
      <c r="AT625" s="1198"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61" t="e">
        <f t="shared" si="23"/>
        <v>#VALUE!</v>
      </c>
      <c r="DY625" s="1861"/>
      <c r="DZ625" s="1861"/>
      <c r="EA625" s="1861"/>
      <c r="EB625" s="1861"/>
      <c r="EC625" s="1861">
        <f t="shared" si="24"/>
        <v>94.600000000000009</v>
      </c>
      <c r="ED625" s="1861"/>
      <c r="EE625" s="1861"/>
      <c r="EF625" s="1861"/>
      <c r="EG625" s="1861"/>
      <c r="EH625" s="1861" t="e">
        <f t="shared" si="25"/>
        <v>#VALUE!</v>
      </c>
      <c r="EI625" s="1861"/>
      <c r="EJ625" s="1861"/>
      <c r="EK625" s="1861"/>
      <c r="EL625" s="1861"/>
      <c r="EM625" s="1861" t="e">
        <f t="shared" si="26"/>
        <v>#VALUE!</v>
      </c>
      <c r="EN625" s="1861"/>
      <c r="EO625" s="1861"/>
      <c r="EP625" s="1861"/>
      <c r="EQ625" s="1861"/>
      <c r="ER625" s="1861" t="e">
        <f t="shared" si="27"/>
        <v>#VALUE!</v>
      </c>
      <c r="ES625" s="1861"/>
      <c r="ET625" s="1861"/>
      <c r="EU625" s="1861"/>
      <c r="EV625" s="1861"/>
      <c r="EW625" s="1861" t="e">
        <f t="shared" si="28"/>
        <v>#VALUE!</v>
      </c>
      <c r="EX625" s="1861"/>
      <c r="EY625" s="1861"/>
      <c r="EZ625" s="1861"/>
      <c r="FA625" s="1861"/>
    </row>
    <row r="626" spans="1:157" ht="12.95" customHeight="1">
      <c r="B626" s="52" t="s">
        <v>591</v>
      </c>
      <c r="C626" s="1716"/>
      <c r="D626" s="1716"/>
      <c r="E626" s="1716"/>
      <c r="F626" s="1716"/>
      <c r="G626" s="1716"/>
      <c r="H626" s="1716"/>
      <c r="I626" s="1716"/>
      <c r="J626" s="1716"/>
      <c r="K626" s="1716"/>
      <c r="L626" s="1716"/>
      <c r="M626" s="1862" t="s">
        <v>1328</v>
      </c>
      <c r="N626" s="1862"/>
      <c r="O626" s="1862"/>
      <c r="P626" s="1862"/>
      <c r="Q626" s="1868"/>
      <c r="R626" s="1558"/>
      <c r="S626" s="1869"/>
      <c r="T626" s="1868"/>
      <c r="U626" s="1558"/>
      <c r="V626" s="1869"/>
      <c r="W626" s="1863"/>
      <c r="X626" s="1864"/>
      <c r="Y626" s="1865"/>
      <c r="Z626" s="1717" t="s">
        <v>1328</v>
      </c>
      <c r="AA626" s="1718"/>
      <c r="AB626" s="1719"/>
      <c r="AC626" s="1426"/>
      <c r="AD626" s="1427"/>
      <c r="AE626" s="1428"/>
      <c r="AF626" s="1581"/>
      <c r="AG626" s="1582"/>
      <c r="AH626" s="1582"/>
      <c r="AI626" s="1582"/>
      <c r="AJ626" s="1583"/>
      <c r="AK626" s="1708"/>
      <c r="AL626" s="1709"/>
      <c r="AM626" s="1709"/>
      <c r="AN626" s="1710"/>
      <c r="AO626" s="1599"/>
      <c r="AP626" s="1600"/>
      <c r="AQ626" s="1600"/>
      <c r="AR626" s="1600"/>
      <c r="AS626" s="1601"/>
      <c r="AT626" s="1198" t="str">
        <f t="shared" si="29"/>
        <v/>
      </c>
      <c r="AU626" s="3"/>
      <c r="AV626" s="3"/>
      <c r="AW626" s="3"/>
      <c r="AX626" s="3"/>
      <c r="AY626" s="3"/>
      <c r="AZ626" s="34"/>
      <c r="BA626" s="3" t="s">
        <v>2552</v>
      </c>
      <c r="BB626" s="34"/>
      <c r="BC626" s="34"/>
      <c r="BD626" s="34"/>
      <c r="BE626" s="34"/>
      <c r="BF626" s="34"/>
      <c r="BG626" s="34"/>
      <c r="BH626" s="34"/>
      <c r="BI626" s="34"/>
      <c r="BJ626" s="34"/>
      <c r="BK626" s="34"/>
      <c r="BL626" s="34"/>
      <c r="BM626" s="34"/>
      <c r="BN626" s="1475">
        <f>IF(J758="SRO/Studio",O758,0)</f>
        <v>0</v>
      </c>
      <c r="BO626" s="1476"/>
      <c r="BP626" s="1476"/>
      <c r="BQ626" s="1476"/>
      <c r="BR626" s="1477"/>
      <c r="BS626" s="1392">
        <f>IF(J758="1 Bedroom",O758,0)</f>
        <v>0</v>
      </c>
      <c r="BT626" s="1392"/>
      <c r="BU626" s="1392"/>
      <c r="BV626" s="1392"/>
      <c r="BW626" s="1392"/>
      <c r="BX626" s="1392">
        <f>IF(J758="2 Bedrooms",O758,0)</f>
        <v>1</v>
      </c>
      <c r="BY626" s="1392"/>
      <c r="BZ626" s="1392"/>
      <c r="CA626" s="1392"/>
      <c r="CB626" s="1392"/>
      <c r="CC626" s="1392">
        <f>IF(J758="3 Bedrooms",O758,0)</f>
        <v>0</v>
      </c>
      <c r="CD626" s="1392"/>
      <c r="CE626" s="1392"/>
      <c r="CF626" s="1392"/>
      <c r="CG626" s="1392"/>
      <c r="CH626" s="1392">
        <f>IF(J758="4 Bedrooms",O758,0)</f>
        <v>0</v>
      </c>
      <c r="CI626" s="1392"/>
      <c r="CJ626" s="1392"/>
      <c r="CK626" s="1392"/>
      <c r="CL626" s="1392"/>
      <c r="CM626" s="1392">
        <f>IF(J758="5 Bedrooms",O758,0)</f>
        <v>0</v>
      </c>
      <c r="CN626" s="1392"/>
      <c r="CO626" s="1392"/>
      <c r="CP626" s="1392"/>
      <c r="CQ626" s="1392"/>
      <c r="CR626" s="6"/>
      <c r="CS626" s="3"/>
      <c r="CT626" s="3"/>
      <c r="CU626" s="3"/>
      <c r="CV626" s="3"/>
      <c r="CW626" s="3"/>
      <c r="CX626" s="3"/>
      <c r="CY626" s="3"/>
      <c r="CZ626" s="3"/>
      <c r="DA626" s="3"/>
      <c r="DB626" s="3"/>
      <c r="DC626" s="3"/>
      <c r="DD626" s="3"/>
      <c r="DE626" s="3"/>
      <c r="DF626" s="3"/>
      <c r="DX626" s="1861" t="e">
        <f t="shared" si="23"/>
        <v>#VALUE!</v>
      </c>
      <c r="DY626" s="1861"/>
      <c r="DZ626" s="1861"/>
      <c r="EA626" s="1861"/>
      <c r="EB626" s="1861"/>
      <c r="EC626" s="1861">
        <f t="shared" si="24"/>
        <v>321.75</v>
      </c>
      <c r="ED626" s="1861"/>
      <c r="EE626" s="1861"/>
      <c r="EF626" s="1861"/>
      <c r="EG626" s="1861"/>
      <c r="EH626" s="1861" t="e">
        <f t="shared" si="25"/>
        <v>#VALUE!</v>
      </c>
      <c r="EI626" s="1861"/>
      <c r="EJ626" s="1861"/>
      <c r="EK626" s="1861"/>
      <c r="EL626" s="1861"/>
      <c r="EM626" s="1861" t="e">
        <f t="shared" si="26"/>
        <v>#VALUE!</v>
      </c>
      <c r="EN626" s="1861"/>
      <c r="EO626" s="1861"/>
      <c r="EP626" s="1861"/>
      <c r="EQ626" s="1861"/>
      <c r="ER626" s="1861" t="e">
        <f t="shared" si="27"/>
        <v>#VALUE!</v>
      </c>
      <c r="ES626" s="1861"/>
      <c r="ET626" s="1861"/>
      <c r="EU626" s="1861"/>
      <c r="EV626" s="1861"/>
      <c r="EW626" s="1861" t="e">
        <f t="shared" si="28"/>
        <v>#VALUE!</v>
      </c>
      <c r="EX626" s="1861"/>
      <c r="EY626" s="1861"/>
      <c r="EZ626" s="1861"/>
      <c r="FA626" s="1861"/>
    </row>
    <row r="627" spans="1:157" ht="12.95" customHeight="1">
      <c r="B627" s="52" t="s">
        <v>788</v>
      </c>
      <c r="C627" s="1716"/>
      <c r="D627" s="1716"/>
      <c r="E627" s="1716"/>
      <c r="F627" s="1716"/>
      <c r="G627" s="1716"/>
      <c r="H627" s="1716"/>
      <c r="I627" s="1716"/>
      <c r="J627" s="1716"/>
      <c r="K627" s="1716"/>
      <c r="L627" s="1716"/>
      <c r="M627" s="1862" t="s">
        <v>1328</v>
      </c>
      <c r="N627" s="1862"/>
      <c r="O627" s="1862"/>
      <c r="P627" s="1862"/>
      <c r="Q627" s="1868"/>
      <c r="R627" s="1558"/>
      <c r="S627" s="1869"/>
      <c r="T627" s="1868"/>
      <c r="U627" s="1558"/>
      <c r="V627" s="1869"/>
      <c r="W627" s="1863"/>
      <c r="X627" s="1864"/>
      <c r="Y627" s="1865"/>
      <c r="Z627" s="1717" t="s">
        <v>1328</v>
      </c>
      <c r="AA627" s="1718"/>
      <c r="AB627" s="1719"/>
      <c r="AC627" s="1426"/>
      <c r="AD627" s="1427"/>
      <c r="AE627" s="1428"/>
      <c r="AF627" s="1581"/>
      <c r="AG627" s="1582"/>
      <c r="AH627" s="1582"/>
      <c r="AI627" s="1582"/>
      <c r="AJ627" s="1583"/>
      <c r="AK627" s="1708"/>
      <c r="AL627" s="1709"/>
      <c r="AM627" s="1709"/>
      <c r="AN627" s="1710"/>
      <c r="AO627" s="1599"/>
      <c r="AP627" s="1600"/>
      <c r="AQ627" s="1600"/>
      <c r="AR627" s="1600"/>
      <c r="AS627" s="1601"/>
      <c r="AT627" s="1198"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75">
        <f>IF(J759="SRO/Studio",O759,0)</f>
        <v>0</v>
      </c>
      <c r="BO627" s="1476"/>
      <c r="BP627" s="1476"/>
      <c r="BQ627" s="1476"/>
      <c r="BR627" s="1477"/>
      <c r="BS627" s="1392">
        <f>IF(J759="1 Bedroom",O759,0)</f>
        <v>0</v>
      </c>
      <c r="BT627" s="1392"/>
      <c r="BU627" s="1392"/>
      <c r="BV627" s="1392"/>
      <c r="BW627" s="1392"/>
      <c r="BX627" s="1392">
        <f>IF(J759="2 Bedrooms",O759,0)</f>
        <v>0</v>
      </c>
      <c r="BY627" s="1392"/>
      <c r="BZ627" s="1392"/>
      <c r="CA627" s="1392"/>
      <c r="CB627" s="1392"/>
      <c r="CC627" s="1392">
        <f>IF(J759="3 Bedrooms",O759,0)</f>
        <v>0</v>
      </c>
      <c r="CD627" s="1392"/>
      <c r="CE627" s="1392"/>
      <c r="CF627" s="1392"/>
      <c r="CG627" s="1392"/>
      <c r="CH627" s="1392">
        <f>IF(J759="4 Bedrooms",O759,0)</f>
        <v>0</v>
      </c>
      <c r="CI627" s="1392"/>
      <c r="CJ627" s="1392"/>
      <c r="CK627" s="1392"/>
      <c r="CL627" s="1392"/>
      <c r="CM627" s="1392">
        <f>IF(J759="5 Bedrooms",O759,0)</f>
        <v>0</v>
      </c>
      <c r="CN627" s="1392"/>
      <c r="CO627" s="1392"/>
      <c r="CP627" s="1392"/>
      <c r="CQ627" s="1392"/>
      <c r="CR627" s="6"/>
      <c r="CS627" s="3"/>
      <c r="CT627" s="3"/>
      <c r="CU627" s="3"/>
      <c r="CV627" s="3"/>
      <c r="CW627" s="3"/>
      <c r="CX627" s="3"/>
      <c r="CY627" s="3"/>
      <c r="CZ627" s="3"/>
      <c r="DA627" s="3"/>
      <c r="DB627" s="3"/>
      <c r="DC627" s="3"/>
      <c r="DD627" s="3"/>
      <c r="DE627" s="3"/>
      <c r="DF627" s="3"/>
      <c r="DX627" s="1861" t="e">
        <f t="shared" si="23"/>
        <v>#VALUE!</v>
      </c>
      <c r="DY627" s="1861"/>
      <c r="DZ627" s="1861"/>
      <c r="EA627" s="1861"/>
      <c r="EB627" s="1861"/>
      <c r="EC627" s="1861">
        <f t="shared" si="24"/>
        <v>661.67499999999995</v>
      </c>
      <c r="ED627" s="1861"/>
      <c r="EE627" s="1861"/>
      <c r="EF627" s="1861"/>
      <c r="EG627" s="1861"/>
      <c r="EH627" s="1861" t="e">
        <f t="shared" si="25"/>
        <v>#VALUE!</v>
      </c>
      <c r="EI627" s="1861"/>
      <c r="EJ627" s="1861"/>
      <c r="EK627" s="1861"/>
      <c r="EL627" s="1861"/>
      <c r="EM627" s="1861" t="e">
        <f t="shared" si="26"/>
        <v>#VALUE!</v>
      </c>
      <c r="EN627" s="1861"/>
      <c r="EO627" s="1861"/>
      <c r="EP627" s="1861"/>
      <c r="EQ627" s="1861"/>
      <c r="ER627" s="1861" t="e">
        <f t="shared" si="27"/>
        <v>#VALUE!</v>
      </c>
      <c r="ES627" s="1861"/>
      <c r="ET627" s="1861"/>
      <c r="EU627" s="1861"/>
      <c r="EV627" s="1861"/>
      <c r="EW627" s="1861" t="e">
        <f t="shared" si="28"/>
        <v>#VALUE!</v>
      </c>
      <c r="EX627" s="1861"/>
      <c r="EY627" s="1861"/>
      <c r="EZ627" s="1861"/>
      <c r="FA627" s="1861"/>
    </row>
    <row r="628" spans="1:157" ht="12.95" customHeight="1">
      <c r="B628" s="52" t="s">
        <v>594</v>
      </c>
      <c r="C628" s="1716"/>
      <c r="D628" s="1716"/>
      <c r="E628" s="1716"/>
      <c r="F628" s="1716"/>
      <c r="G628" s="1716"/>
      <c r="H628" s="1716"/>
      <c r="I628" s="1716"/>
      <c r="J628" s="1716"/>
      <c r="K628" s="1716"/>
      <c r="L628" s="1716"/>
      <c r="M628" s="1862" t="s">
        <v>1328</v>
      </c>
      <c r="N628" s="1862"/>
      <c r="O628" s="1862"/>
      <c r="P628" s="1862"/>
      <c r="Q628" s="1868"/>
      <c r="R628" s="1558"/>
      <c r="S628" s="1869"/>
      <c r="T628" s="1868"/>
      <c r="U628" s="1558"/>
      <c r="V628" s="1869"/>
      <c r="W628" s="1863"/>
      <c r="X628" s="1864"/>
      <c r="Y628" s="1865"/>
      <c r="Z628" s="1717" t="s">
        <v>1328</v>
      </c>
      <c r="AA628" s="1718"/>
      <c r="AB628" s="1719"/>
      <c r="AC628" s="1426"/>
      <c r="AD628" s="1427"/>
      <c r="AE628" s="1428"/>
      <c r="AF628" s="1581"/>
      <c r="AG628" s="1582"/>
      <c r="AH628" s="1582"/>
      <c r="AI628" s="1582"/>
      <c r="AJ628" s="1583"/>
      <c r="AK628" s="1708"/>
      <c r="AL628" s="1709"/>
      <c r="AM628" s="1709"/>
      <c r="AN628" s="1710"/>
      <c r="AO628" s="1599"/>
      <c r="AP628" s="1600"/>
      <c r="AQ628" s="1600"/>
      <c r="AR628" s="1600"/>
      <c r="AS628" s="1601"/>
      <c r="AT628" s="1198" t="str">
        <f t="shared" si="29"/>
        <v/>
      </c>
      <c r="AU628" s="3"/>
      <c r="AV628" s="3"/>
      <c r="AW628" s="3"/>
      <c r="AX628" s="3"/>
      <c r="AY628" s="3"/>
      <c r="AZ628" s="34"/>
      <c r="BA628" s="34"/>
      <c r="BB628" s="34"/>
      <c r="BC628" s="34"/>
      <c r="BD628" s="34"/>
      <c r="BE628" s="34"/>
      <c r="BF628" s="34"/>
      <c r="BG628" s="34"/>
      <c r="BH628" s="34"/>
      <c r="BI628" s="34"/>
      <c r="BJ628" s="34"/>
      <c r="BK628" s="34"/>
      <c r="BL628" s="34"/>
      <c r="BM628" s="34"/>
      <c r="BN628" s="1475">
        <f>IF(J760="SRO/Studio",O760,0)</f>
        <v>0</v>
      </c>
      <c r="BO628" s="1476"/>
      <c r="BP628" s="1476"/>
      <c r="BQ628" s="1476"/>
      <c r="BR628" s="1477"/>
      <c r="BS628" s="1392">
        <f>IF(J760="1 Bedroom",O760,0)</f>
        <v>0</v>
      </c>
      <c r="BT628" s="1392"/>
      <c r="BU628" s="1392"/>
      <c r="BV628" s="1392"/>
      <c r="BW628" s="1392"/>
      <c r="BX628" s="1392">
        <f>IF(J760="2 Bedrooms",O760,0)</f>
        <v>0</v>
      </c>
      <c r="BY628" s="1392"/>
      <c r="BZ628" s="1392"/>
      <c r="CA628" s="1392"/>
      <c r="CB628" s="1392"/>
      <c r="CC628" s="1392">
        <f>IF(J760="3 Bedrooms",O760,0)</f>
        <v>0</v>
      </c>
      <c r="CD628" s="1392"/>
      <c r="CE628" s="1392"/>
      <c r="CF628" s="1392"/>
      <c r="CG628" s="1392"/>
      <c r="CH628" s="1392">
        <f>IF(J760="4 Bedrooms",O760,0)</f>
        <v>0</v>
      </c>
      <c r="CI628" s="1392"/>
      <c r="CJ628" s="1392"/>
      <c r="CK628" s="1392"/>
      <c r="CL628" s="1392"/>
      <c r="CM628" s="1392">
        <f>IF(J760="5 Bedrooms",O760,0)</f>
        <v>0</v>
      </c>
      <c r="CN628" s="1392"/>
      <c r="CO628" s="1392"/>
      <c r="CP628" s="1392"/>
      <c r="CQ628" s="1392"/>
      <c r="CR628" s="1046"/>
      <c r="CV628" s="3"/>
      <c r="CW628" s="3"/>
      <c r="CX628" s="3"/>
      <c r="CY628" s="3"/>
      <c r="CZ628" s="3"/>
      <c r="DA628" s="3"/>
      <c r="DB628" s="3"/>
      <c r="DC628" s="3"/>
      <c r="DD628" s="3"/>
      <c r="DE628" s="3"/>
      <c r="DF628" s="3"/>
      <c r="DX628" s="1861" t="e">
        <f t="shared" si="23"/>
        <v>#VALUE!</v>
      </c>
      <c r="DY628" s="1861"/>
      <c r="DZ628" s="1861"/>
      <c r="EA628" s="1861"/>
      <c r="EB628" s="1861"/>
      <c r="EC628" s="1861" t="e">
        <f t="shared" si="24"/>
        <v>#VALUE!</v>
      </c>
      <c r="ED628" s="1861"/>
      <c r="EE628" s="1861"/>
      <c r="EF628" s="1861"/>
      <c r="EG628" s="1861"/>
      <c r="EH628" s="1861" t="e">
        <f t="shared" si="25"/>
        <v>#VALUE!</v>
      </c>
      <c r="EI628" s="1861"/>
      <c r="EJ628" s="1861"/>
      <c r="EK628" s="1861"/>
      <c r="EL628" s="1861"/>
      <c r="EM628" s="1861" t="e">
        <f t="shared" si="26"/>
        <v>#VALUE!</v>
      </c>
      <c r="EN628" s="1861"/>
      <c r="EO628" s="1861"/>
      <c r="EP628" s="1861"/>
      <c r="EQ628" s="1861"/>
      <c r="ER628" s="1861" t="e">
        <f t="shared" si="27"/>
        <v>#VALUE!</v>
      </c>
      <c r="ES628" s="1861"/>
      <c r="ET628" s="1861"/>
      <c r="EU628" s="1861"/>
      <c r="EV628" s="1861"/>
      <c r="EW628" s="1861" t="e">
        <f t="shared" si="28"/>
        <v>#VALUE!</v>
      </c>
      <c r="EX628" s="1861"/>
      <c r="EY628" s="1861"/>
      <c r="EZ628" s="1861"/>
      <c r="FA628" s="1861"/>
    </row>
    <row r="629" spans="1:157" ht="12.95" customHeight="1">
      <c r="B629" s="52" t="s">
        <v>465</v>
      </c>
      <c r="C629" s="1716"/>
      <c r="D629" s="1716"/>
      <c r="E629" s="1716"/>
      <c r="F629" s="1716"/>
      <c r="G629" s="1716"/>
      <c r="H629" s="1716"/>
      <c r="I629" s="1716"/>
      <c r="J629" s="1716"/>
      <c r="K629" s="1716"/>
      <c r="L629" s="1716"/>
      <c r="M629" s="1862" t="s">
        <v>1328</v>
      </c>
      <c r="N629" s="1862"/>
      <c r="O629" s="1862"/>
      <c r="P629" s="1862"/>
      <c r="Q629" s="1868"/>
      <c r="R629" s="1558"/>
      <c r="S629" s="1869"/>
      <c r="T629" s="1868"/>
      <c r="U629" s="1558"/>
      <c r="V629" s="1869"/>
      <c r="W629" s="1863"/>
      <c r="X629" s="1864"/>
      <c r="Y629" s="1865"/>
      <c r="Z629" s="1717" t="s">
        <v>1328</v>
      </c>
      <c r="AA629" s="1718"/>
      <c r="AB629" s="1719"/>
      <c r="AC629" s="1426"/>
      <c r="AD629" s="1427"/>
      <c r="AE629" s="1428"/>
      <c r="AF629" s="1581"/>
      <c r="AG629" s="1582"/>
      <c r="AH629" s="1582"/>
      <c r="AI629" s="1582"/>
      <c r="AJ629" s="1583"/>
      <c r="AK629" s="1708"/>
      <c r="AL629" s="1709"/>
      <c r="AM629" s="1709"/>
      <c r="AN629" s="1710"/>
      <c r="AO629" s="1599"/>
      <c r="AP629" s="1600"/>
      <c r="AQ629" s="1600"/>
      <c r="AR629" s="1600"/>
      <c r="AS629" s="1601"/>
      <c r="AT629" s="1198" t="str">
        <f t="shared" si="29"/>
        <v/>
      </c>
      <c r="AU629" s="3"/>
      <c r="AV629" s="3"/>
      <c r="AW629" s="3"/>
      <c r="AX629" s="3"/>
      <c r="AY629" s="3"/>
      <c r="AZ629" s="34"/>
      <c r="BA629" s="34"/>
      <c r="BB629" s="34"/>
      <c r="BC629" s="34"/>
      <c r="BD629" s="34"/>
      <c r="BE629" s="34"/>
      <c r="BF629" s="34"/>
      <c r="BG629" s="34"/>
      <c r="BH629" s="34"/>
      <c r="BI629" s="34"/>
      <c r="BJ629" s="34"/>
      <c r="BK629" s="34"/>
      <c r="BL629" s="34"/>
      <c r="BM629" s="34"/>
      <c r="BN629" s="1475">
        <f>IF(J761="SRO/Studio",O761,0)</f>
        <v>0</v>
      </c>
      <c r="BO629" s="1476"/>
      <c r="BP629" s="1476"/>
      <c r="BQ629" s="1476"/>
      <c r="BR629" s="1477"/>
      <c r="BS629" s="1392">
        <f>IF(J761="1 Bedroom",O761,0)</f>
        <v>0</v>
      </c>
      <c r="BT629" s="1392"/>
      <c r="BU629" s="1392"/>
      <c r="BV629" s="1392"/>
      <c r="BW629" s="1392"/>
      <c r="BX629" s="1392">
        <f>IF(J761="2 Bedrooms",O761,0)</f>
        <v>0</v>
      </c>
      <c r="BY629" s="1392"/>
      <c r="BZ629" s="1392"/>
      <c r="CA629" s="1392"/>
      <c r="CB629" s="1392"/>
      <c r="CC629" s="1392">
        <f>IF(J761="3 Bedrooms",O761,0)</f>
        <v>0</v>
      </c>
      <c r="CD629" s="1392"/>
      <c r="CE629" s="1392"/>
      <c r="CF629" s="1392"/>
      <c r="CG629" s="1392"/>
      <c r="CH629" s="1392">
        <f>IF(J761="4 Bedrooms",O761,0)</f>
        <v>0</v>
      </c>
      <c r="CI629" s="1392"/>
      <c r="CJ629" s="1392"/>
      <c r="CK629" s="1392"/>
      <c r="CL629" s="1392"/>
      <c r="CM629" s="1392">
        <f>IF(J761="5 Bedrooms",O761,0)</f>
        <v>0</v>
      </c>
      <c r="CN629" s="1392"/>
      <c r="CO629" s="1392"/>
      <c r="CP629" s="1392"/>
      <c r="CQ629" s="1392"/>
      <c r="CV629" s="3"/>
      <c r="CW629" s="3"/>
      <c r="CX629" s="3"/>
      <c r="CY629" s="3"/>
      <c r="CZ629" s="3"/>
      <c r="DA629" s="3"/>
      <c r="DB629" s="3"/>
      <c r="DC629" s="3"/>
      <c r="DD629" s="3"/>
      <c r="DE629" s="3"/>
      <c r="DF629" s="3"/>
      <c r="DX629" s="1861" t="e">
        <f t="shared" si="23"/>
        <v>#VALUE!</v>
      </c>
      <c r="DY629" s="1861"/>
      <c r="DZ629" s="1861"/>
      <c r="EA629" s="1861"/>
      <c r="EB629" s="1861"/>
      <c r="EC629" s="1861" t="e">
        <f t="shared" si="24"/>
        <v>#VALUE!</v>
      </c>
      <c r="ED629" s="1861"/>
      <c r="EE629" s="1861"/>
      <c r="EF629" s="1861"/>
      <c r="EG629" s="1861"/>
      <c r="EH629" s="1861">
        <f t="shared" si="25"/>
        <v>54.363636363636367</v>
      </c>
      <c r="EI629" s="1861"/>
      <c r="EJ629" s="1861"/>
      <c r="EK629" s="1861"/>
      <c r="EL629" s="1861"/>
      <c r="EM629" s="1861" t="e">
        <f t="shared" si="26"/>
        <v>#VALUE!</v>
      </c>
      <c r="EN629" s="1861"/>
      <c r="EO629" s="1861"/>
      <c r="EP629" s="1861"/>
      <c r="EQ629" s="1861"/>
      <c r="ER629" s="1861" t="e">
        <f t="shared" si="27"/>
        <v>#VALUE!</v>
      </c>
      <c r="ES629" s="1861"/>
      <c r="ET629" s="1861"/>
      <c r="EU629" s="1861"/>
      <c r="EV629" s="1861"/>
      <c r="EW629" s="1861" t="e">
        <f t="shared" si="28"/>
        <v>#VALUE!</v>
      </c>
      <c r="EX629" s="1861"/>
      <c r="EY629" s="1861"/>
      <c r="EZ629" s="1861"/>
      <c r="FA629" s="1861"/>
    </row>
    <row r="630" spans="1:157" ht="12.95" customHeight="1">
      <c r="B630" s="52" t="s">
        <v>466</v>
      </c>
      <c r="C630" s="1716"/>
      <c r="D630" s="1716"/>
      <c r="E630" s="1716"/>
      <c r="F630" s="1716"/>
      <c r="G630" s="1716"/>
      <c r="H630" s="1716"/>
      <c r="I630" s="1716"/>
      <c r="J630" s="1716"/>
      <c r="K630" s="1716"/>
      <c r="L630" s="1716"/>
      <c r="M630" s="1862" t="s">
        <v>1328</v>
      </c>
      <c r="N630" s="1862"/>
      <c r="O630" s="1862"/>
      <c r="P630" s="1862"/>
      <c r="Q630" s="1868"/>
      <c r="R630" s="1558"/>
      <c r="S630" s="1869"/>
      <c r="T630" s="1868"/>
      <c r="U630" s="1558"/>
      <c r="V630" s="1869"/>
      <c r="W630" s="1863"/>
      <c r="X630" s="1864"/>
      <c r="Y630" s="1865"/>
      <c r="Z630" s="1717" t="s">
        <v>1328</v>
      </c>
      <c r="AA630" s="1718"/>
      <c r="AB630" s="1719"/>
      <c r="AC630" s="1426"/>
      <c r="AD630" s="1427"/>
      <c r="AE630" s="1428"/>
      <c r="AF630" s="1581"/>
      <c r="AG630" s="1582"/>
      <c r="AH630" s="1582"/>
      <c r="AI630" s="1582"/>
      <c r="AJ630" s="1583"/>
      <c r="AK630" s="1708"/>
      <c r="AL630" s="1709"/>
      <c r="AM630" s="1709"/>
      <c r="AN630" s="1710"/>
      <c r="AO630" s="1599"/>
      <c r="AP630" s="1600"/>
      <c r="AQ630" s="1600"/>
      <c r="AR630" s="1600"/>
      <c r="AS630" s="1601"/>
      <c r="AT630" s="1198" t="str">
        <f t="shared" si="29"/>
        <v/>
      </c>
      <c r="AU630" s="3"/>
      <c r="AV630" s="3"/>
      <c r="AW630" s="3"/>
      <c r="AX630" s="3"/>
      <c r="AY630" s="3"/>
      <c r="AZ630" s="34"/>
      <c r="BA630" s="34"/>
      <c r="BB630" s="34"/>
      <c r="BC630" s="34"/>
      <c r="BD630" s="34"/>
      <c r="BE630" s="34"/>
      <c r="BF630" s="34"/>
      <c r="BG630" s="34"/>
      <c r="BH630" s="34"/>
      <c r="BI630" s="34"/>
      <c r="BJ630" s="34"/>
      <c r="BK630" s="34"/>
      <c r="BL630" s="34"/>
      <c r="BM630" s="34"/>
      <c r="BN630" s="1473">
        <f>SUM(BN626:BR629)</f>
        <v>0</v>
      </c>
      <c r="BO630" s="1516"/>
      <c r="BP630" s="1516"/>
      <c r="BQ630" s="1516"/>
      <c r="BR630" s="1474"/>
      <c r="BS630" s="1705">
        <f>SUM(BS626:BW629)</f>
        <v>0</v>
      </c>
      <c r="BT630" s="1706"/>
      <c r="BU630" s="1706"/>
      <c r="BV630" s="1706"/>
      <c r="BW630" s="1707"/>
      <c r="BX630" s="1705">
        <f>SUM(BX626:CB629)</f>
        <v>1</v>
      </c>
      <c r="BY630" s="1706"/>
      <c r="BZ630" s="1706"/>
      <c r="CA630" s="1706"/>
      <c r="CB630" s="1707"/>
      <c r="CC630" s="1705">
        <f>SUM(CC626:CG629)</f>
        <v>0</v>
      </c>
      <c r="CD630" s="1706"/>
      <c r="CE630" s="1706"/>
      <c r="CF630" s="1706"/>
      <c r="CG630" s="1707"/>
      <c r="CH630" s="1705">
        <f>SUM(CH626:CL629)</f>
        <v>0</v>
      </c>
      <c r="CI630" s="1706"/>
      <c r="CJ630" s="1706"/>
      <c r="CK630" s="1706"/>
      <c r="CL630" s="1707"/>
      <c r="CM630" s="1705">
        <f>SUM(CM626:CQ629)</f>
        <v>0</v>
      </c>
      <c r="CN630" s="1706"/>
      <c r="CO630" s="1706"/>
      <c r="CP630" s="1706"/>
      <c r="CQ630" s="1707"/>
      <c r="CS630" s="897">
        <f>BN630+BS630+BX630+CC630+CH630+CM630</f>
        <v>1</v>
      </c>
      <c r="CT630" s="57" t="s">
        <v>2124</v>
      </c>
      <c r="CU630" s="3"/>
      <c r="CV630" s="3"/>
      <c r="CW630" s="3"/>
      <c r="CX630" s="3"/>
      <c r="CY630" s="3"/>
      <c r="CZ630" s="3"/>
      <c r="DA630" s="3"/>
      <c r="DB630" s="3"/>
      <c r="DC630" s="3"/>
      <c r="DD630" s="3"/>
      <c r="DE630" s="3"/>
      <c r="DF630" s="3"/>
      <c r="DX630" s="1861" t="e">
        <f t="shared" si="23"/>
        <v>#VALUE!</v>
      </c>
      <c r="DY630" s="1861"/>
      <c r="DZ630" s="1861"/>
      <c r="EA630" s="1861"/>
      <c r="EB630" s="1861"/>
      <c r="EC630" s="1861" t="e">
        <f t="shared" si="24"/>
        <v>#VALUE!</v>
      </c>
      <c r="ED630" s="1861"/>
      <c r="EE630" s="1861"/>
      <c r="EF630" s="1861"/>
      <c r="EG630" s="1861"/>
      <c r="EH630" s="1861">
        <f t="shared" si="25"/>
        <v>176.72727272727272</v>
      </c>
      <c r="EI630" s="1861"/>
      <c r="EJ630" s="1861"/>
      <c r="EK630" s="1861"/>
      <c r="EL630" s="1861"/>
      <c r="EM630" s="1861" t="e">
        <f t="shared" si="26"/>
        <v>#VALUE!</v>
      </c>
      <c r="EN630" s="1861"/>
      <c r="EO630" s="1861"/>
      <c r="EP630" s="1861"/>
      <c r="EQ630" s="1861"/>
      <c r="ER630" s="1861" t="e">
        <f t="shared" si="27"/>
        <v>#VALUE!</v>
      </c>
      <c r="ES630" s="1861"/>
      <c r="ET630" s="1861"/>
      <c r="EU630" s="1861"/>
      <c r="EV630" s="1861"/>
      <c r="EW630" s="1861" t="e">
        <f t="shared" si="28"/>
        <v>#VALUE!</v>
      </c>
      <c r="EX630" s="1861"/>
      <c r="EY630" s="1861"/>
      <c r="EZ630" s="1861"/>
      <c r="FA630" s="1861"/>
    </row>
    <row r="631" spans="1:157" ht="12.95" customHeight="1">
      <c r="B631" s="52" t="s">
        <v>471</v>
      </c>
      <c r="C631" s="1716"/>
      <c r="D631" s="1716"/>
      <c r="E631" s="1716"/>
      <c r="F631" s="1716"/>
      <c r="G631" s="1716"/>
      <c r="H631" s="1716"/>
      <c r="I631" s="1716"/>
      <c r="J631" s="1716"/>
      <c r="K631" s="1716"/>
      <c r="L631" s="1716"/>
      <c r="M631" s="1862" t="s">
        <v>1328</v>
      </c>
      <c r="N631" s="1862"/>
      <c r="O631" s="1862"/>
      <c r="P631" s="1862"/>
      <c r="Q631" s="1868"/>
      <c r="R631" s="1558"/>
      <c r="S631" s="1869"/>
      <c r="T631" s="1868"/>
      <c r="U631" s="1558"/>
      <c r="V631" s="1869"/>
      <c r="W631" s="1863"/>
      <c r="X631" s="1864"/>
      <c r="Y631" s="1865"/>
      <c r="Z631" s="1717" t="s">
        <v>1328</v>
      </c>
      <c r="AA631" s="1718"/>
      <c r="AB631" s="1719"/>
      <c r="AC631" s="1426"/>
      <c r="AD631" s="1427"/>
      <c r="AE631" s="1428"/>
      <c r="AF631" s="1581"/>
      <c r="AG631" s="1582"/>
      <c r="AH631" s="1582"/>
      <c r="AI631" s="1582"/>
      <c r="AJ631" s="1583"/>
      <c r="AK631" s="1708"/>
      <c r="AL631" s="1709"/>
      <c r="AM631" s="1709"/>
      <c r="AN631" s="1710"/>
      <c r="AO631" s="1599"/>
      <c r="AP631" s="1600"/>
      <c r="AQ631" s="1600"/>
      <c r="AR631" s="1600"/>
      <c r="AS631" s="1601"/>
      <c r="AT631" s="1198"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861" t="e">
        <f t="shared" si="23"/>
        <v>#VALUE!</v>
      </c>
      <c r="DY631" s="1861"/>
      <c r="DZ631" s="1861"/>
      <c r="EA631" s="1861"/>
      <c r="EB631" s="1861"/>
      <c r="EC631" s="1861" t="e">
        <f t="shared" si="24"/>
        <v>#VALUE!</v>
      </c>
      <c r="ED631" s="1861"/>
      <c r="EE631" s="1861"/>
      <c r="EF631" s="1861"/>
      <c r="EG631" s="1861"/>
      <c r="EH631" s="1861">
        <f t="shared" si="25"/>
        <v>436.98701298701297</v>
      </c>
      <c r="EI631" s="1861"/>
      <c r="EJ631" s="1861"/>
      <c r="EK631" s="1861"/>
      <c r="EL631" s="1861"/>
      <c r="EM631" s="1861" t="e">
        <f t="shared" si="26"/>
        <v>#VALUE!</v>
      </c>
      <c r="EN631" s="1861"/>
      <c r="EO631" s="1861"/>
      <c r="EP631" s="1861"/>
      <c r="EQ631" s="1861"/>
      <c r="ER631" s="1861" t="e">
        <f t="shared" si="27"/>
        <v>#VALUE!</v>
      </c>
      <c r="ES631" s="1861"/>
      <c r="ET631" s="1861"/>
      <c r="EU631" s="1861"/>
      <c r="EV631" s="1861"/>
      <c r="EW631" s="1861" t="e">
        <f t="shared" si="28"/>
        <v>#VALUE!</v>
      </c>
      <c r="EX631" s="1861"/>
      <c r="EY631" s="1861"/>
      <c r="EZ631" s="1861"/>
      <c r="FA631" s="1861"/>
    </row>
    <row r="632" spans="1:157" ht="12.95" customHeight="1">
      <c r="B632" s="52" t="s">
        <v>656</v>
      </c>
      <c r="C632" s="1716"/>
      <c r="D632" s="1716"/>
      <c r="E632" s="1716"/>
      <c r="F632" s="1716"/>
      <c r="G632" s="1716"/>
      <c r="H632" s="1716"/>
      <c r="I632" s="1716"/>
      <c r="J632" s="1716"/>
      <c r="K632" s="1716"/>
      <c r="L632" s="1716"/>
      <c r="M632" s="1862" t="s">
        <v>1328</v>
      </c>
      <c r="N632" s="1862"/>
      <c r="O632" s="1862"/>
      <c r="P632" s="1862"/>
      <c r="Q632" s="1868"/>
      <c r="R632" s="1558"/>
      <c r="S632" s="1869"/>
      <c r="T632" s="1868"/>
      <c r="U632" s="1558"/>
      <c r="V632" s="1869"/>
      <c r="W632" s="1863"/>
      <c r="X632" s="1864"/>
      <c r="Y632" s="1865"/>
      <c r="Z632" s="1717" t="s">
        <v>1328</v>
      </c>
      <c r="AA632" s="1718"/>
      <c r="AB632" s="1719"/>
      <c r="AC632" s="1426"/>
      <c r="AD632" s="1427"/>
      <c r="AE632" s="1428"/>
      <c r="AF632" s="1581"/>
      <c r="AG632" s="1582"/>
      <c r="AH632" s="1582"/>
      <c r="AI632" s="1582"/>
      <c r="AJ632" s="1583"/>
      <c r="AK632" s="1708"/>
      <c r="AL632" s="1709"/>
      <c r="AM632" s="1709"/>
      <c r="AN632" s="1710"/>
      <c r="AO632" s="1599"/>
      <c r="AP632" s="1600"/>
      <c r="AQ632" s="1600"/>
      <c r="AR632" s="1600"/>
      <c r="AS632" s="1601"/>
      <c r="AT632" s="1198"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61" t="e">
        <f t="shared" si="23"/>
        <v>#VALUE!</v>
      </c>
      <c r="DY632" s="1861"/>
      <c r="DZ632" s="1861"/>
      <c r="EA632" s="1861"/>
      <c r="EB632" s="1861"/>
      <c r="EC632" s="1861" t="e">
        <f t="shared" si="24"/>
        <v>#VALUE!</v>
      </c>
      <c r="ED632" s="1861"/>
      <c r="EE632" s="1861"/>
      <c r="EF632" s="1861"/>
      <c r="EG632" s="1861"/>
      <c r="EH632" s="1861">
        <f t="shared" si="25"/>
        <v>737.40259740259739</v>
      </c>
      <c r="EI632" s="1861"/>
      <c r="EJ632" s="1861"/>
      <c r="EK632" s="1861"/>
      <c r="EL632" s="1861"/>
      <c r="EM632" s="1861" t="e">
        <f t="shared" si="26"/>
        <v>#VALUE!</v>
      </c>
      <c r="EN632" s="1861"/>
      <c r="EO632" s="1861"/>
      <c r="EP632" s="1861"/>
      <c r="EQ632" s="1861"/>
      <c r="ER632" s="1861" t="e">
        <f t="shared" si="27"/>
        <v>#VALUE!</v>
      </c>
      <c r="ES632" s="1861"/>
      <c r="ET632" s="1861"/>
      <c r="EU632" s="1861"/>
      <c r="EV632" s="1861"/>
      <c r="EW632" s="1861" t="e">
        <f t="shared" si="28"/>
        <v>#VALUE!</v>
      </c>
      <c r="EX632" s="1861"/>
      <c r="EY632" s="1861"/>
      <c r="EZ632" s="1861"/>
      <c r="FA632" s="1861"/>
    </row>
    <row r="633" spans="1:157" ht="12.95" customHeight="1">
      <c r="B633" s="52" t="s">
        <v>364</v>
      </c>
      <c r="C633" s="1716"/>
      <c r="D633" s="1716"/>
      <c r="E633" s="1716"/>
      <c r="F633" s="1716"/>
      <c r="G633" s="1716"/>
      <c r="H633" s="1716"/>
      <c r="I633" s="1716"/>
      <c r="J633" s="1716"/>
      <c r="K633" s="1716"/>
      <c r="L633" s="1716"/>
      <c r="M633" s="1862" t="s">
        <v>1328</v>
      </c>
      <c r="N633" s="1862"/>
      <c r="O633" s="1862"/>
      <c r="P633" s="1862"/>
      <c r="Q633" s="1868"/>
      <c r="R633" s="1558"/>
      <c r="S633" s="1869"/>
      <c r="T633" s="1868"/>
      <c r="U633" s="1558"/>
      <c r="V633" s="1869"/>
      <c r="W633" s="1863"/>
      <c r="X633" s="1864"/>
      <c r="Y633" s="1865"/>
      <c r="Z633" s="1717" t="s">
        <v>1328</v>
      </c>
      <c r="AA633" s="1718"/>
      <c r="AB633" s="1719"/>
      <c r="AC633" s="1426"/>
      <c r="AD633" s="1427"/>
      <c r="AE633" s="1428"/>
      <c r="AF633" s="1581"/>
      <c r="AG633" s="1582"/>
      <c r="AH633" s="1582"/>
      <c r="AI633" s="1582"/>
      <c r="AJ633" s="1583"/>
      <c r="AK633" s="1708"/>
      <c r="AL633" s="1709"/>
      <c r="AM633" s="1709"/>
      <c r="AN633" s="1710"/>
      <c r="AO633" s="1599"/>
      <c r="AP633" s="1600"/>
      <c r="AQ633" s="1600"/>
      <c r="AR633" s="1600"/>
      <c r="AS633" s="1601"/>
      <c r="AT633" s="1198"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61" t="e">
        <f t="shared" si="23"/>
        <v>#VALUE!</v>
      </c>
      <c r="DY633" s="1861"/>
      <c r="DZ633" s="1861"/>
      <c r="EA633" s="1861"/>
      <c r="EB633" s="1861"/>
      <c r="EC633" s="1861" t="e">
        <f t="shared" si="24"/>
        <v>#VALUE!</v>
      </c>
      <c r="ED633" s="1861"/>
      <c r="EE633" s="1861"/>
      <c r="EF633" s="1861"/>
      <c r="EG633" s="1861"/>
      <c r="EH633" s="1861" t="e">
        <f t="shared" si="25"/>
        <v>#VALUE!</v>
      </c>
      <c r="EI633" s="1861"/>
      <c r="EJ633" s="1861"/>
      <c r="EK633" s="1861"/>
      <c r="EL633" s="1861"/>
      <c r="EM633" s="1861" t="e">
        <f t="shared" si="26"/>
        <v>#VALUE!</v>
      </c>
      <c r="EN633" s="1861"/>
      <c r="EO633" s="1861"/>
      <c r="EP633" s="1861"/>
      <c r="EQ633" s="1861"/>
      <c r="ER633" s="1861" t="e">
        <f t="shared" si="27"/>
        <v>#VALUE!</v>
      </c>
      <c r="ES633" s="1861"/>
      <c r="ET633" s="1861"/>
      <c r="EU633" s="1861"/>
      <c r="EV633" s="1861"/>
      <c r="EW633" s="1861" t="e">
        <f t="shared" si="28"/>
        <v>#VALUE!</v>
      </c>
      <c r="EX633" s="1861"/>
      <c r="EY633" s="1861"/>
      <c r="EZ633" s="1861"/>
      <c r="FA633" s="1861"/>
    </row>
    <row r="634" spans="1:157" ht="12.95" customHeight="1">
      <c r="B634" s="52" t="s">
        <v>365</v>
      </c>
      <c r="C634" s="1716"/>
      <c r="D634" s="1716"/>
      <c r="E634" s="1716"/>
      <c r="F634" s="1716"/>
      <c r="G634" s="1716"/>
      <c r="H634" s="1716"/>
      <c r="I634" s="1716"/>
      <c r="J634" s="1716"/>
      <c r="K634" s="1716"/>
      <c r="L634" s="1716"/>
      <c r="M634" s="1862" t="s">
        <v>1328</v>
      </c>
      <c r="N634" s="1862"/>
      <c r="O634" s="1862"/>
      <c r="P634" s="1862"/>
      <c r="Q634" s="1868"/>
      <c r="R634" s="1558"/>
      <c r="S634" s="1869"/>
      <c r="T634" s="1868"/>
      <c r="U634" s="1558"/>
      <c r="V634" s="1869"/>
      <c r="W634" s="1863"/>
      <c r="X634" s="1864"/>
      <c r="Y634" s="1865"/>
      <c r="Z634" s="1717" t="s">
        <v>1328</v>
      </c>
      <c r="AA634" s="1718"/>
      <c r="AB634" s="1719"/>
      <c r="AC634" s="1426"/>
      <c r="AD634" s="1427"/>
      <c r="AE634" s="1428"/>
      <c r="AF634" s="1581"/>
      <c r="AG634" s="1582"/>
      <c r="AH634" s="1582"/>
      <c r="AI634" s="1582"/>
      <c r="AJ634" s="1583"/>
      <c r="AK634" s="1708"/>
      <c r="AL634" s="1709"/>
      <c r="AM634" s="1709"/>
      <c r="AN634" s="1710"/>
      <c r="AO634" s="1599"/>
      <c r="AP634" s="1600"/>
      <c r="AQ634" s="1600"/>
      <c r="AR634" s="1600"/>
      <c r="AS634" s="1601"/>
      <c r="AT634" s="1198" t="str">
        <f t="shared" si="29"/>
        <v/>
      </c>
      <c r="AU634" s="3"/>
      <c r="AV634" s="3"/>
      <c r="AW634" s="3"/>
      <c r="AX634" s="3"/>
      <c r="AY634" s="3"/>
      <c r="AZ634" s="3"/>
      <c r="BA634" s="3"/>
      <c r="BB634" s="3"/>
      <c r="BC634" s="3"/>
      <c r="BD634" s="3"/>
      <c r="BE634" s="3"/>
      <c r="BF634" s="3"/>
      <c r="BG634" s="3"/>
      <c r="BH634" s="3"/>
      <c r="BI634" s="3"/>
      <c r="BJ634" s="3"/>
      <c r="BK634" s="3"/>
      <c r="BL634" s="3"/>
      <c r="BM634" s="3"/>
      <c r="BN634" s="1475">
        <f t="shared" ref="BN634:BN643" si="30">IF(J772="SRO/Studio",O772,0)</f>
        <v>0</v>
      </c>
      <c r="BO634" s="1476"/>
      <c r="BP634" s="1476"/>
      <c r="BQ634" s="1476"/>
      <c r="BR634" s="1477"/>
      <c r="BS634" s="1392">
        <f t="shared" ref="BS634:BS643" si="31">IF(J772="1 Bedroom",O772,0)</f>
        <v>0</v>
      </c>
      <c r="BT634" s="1392"/>
      <c r="BU634" s="1392"/>
      <c r="BV634" s="1392"/>
      <c r="BW634" s="1392"/>
      <c r="BX634" s="1392">
        <f t="shared" ref="BX634:BX643" si="32">IF(J772="2 Bedrooms",O772,0)</f>
        <v>0</v>
      </c>
      <c r="BY634" s="1392"/>
      <c r="BZ634" s="1392"/>
      <c r="CA634" s="1392"/>
      <c r="CB634" s="1392"/>
      <c r="CC634" s="1392">
        <f t="shared" ref="CC634:CC643" si="33">IF(J772="3 Bedrooms",O772,0)</f>
        <v>0</v>
      </c>
      <c r="CD634" s="1392"/>
      <c r="CE634" s="1392"/>
      <c r="CF634" s="1392"/>
      <c r="CG634" s="1392"/>
      <c r="CH634" s="1392">
        <f t="shared" ref="CH634:CH643" si="34">IF(J772="4 Bedrooms",O772,0)</f>
        <v>0</v>
      </c>
      <c r="CI634" s="1392"/>
      <c r="CJ634" s="1392"/>
      <c r="CK634" s="1392"/>
      <c r="CL634" s="1392"/>
      <c r="CM634" s="1392">
        <f t="shared" ref="CM634:CM643" si="35">IF(J772="5 Bedrooms",O772,0)</f>
        <v>0</v>
      </c>
      <c r="CN634" s="1392"/>
      <c r="CO634" s="1392"/>
      <c r="CP634" s="1392"/>
      <c r="CQ634" s="1392"/>
      <c r="CR634" s="6"/>
      <c r="CS634" s="1475">
        <f>IF(AND(BN634&gt;=1,AH772&gt;=0.1,AH772&lt;=1),O772,0)</f>
        <v>0</v>
      </c>
      <c r="CT634" s="1476"/>
      <c r="CU634" s="1476"/>
      <c r="CV634" s="1476"/>
      <c r="CW634" s="1477"/>
      <c r="CX634" s="1475">
        <f>IF(AND(BS634&gt;=1,AH772&gt;=0.1,AH772&lt;=1),O772,0)</f>
        <v>0</v>
      </c>
      <c r="CY634" s="1476"/>
      <c r="CZ634" s="1476"/>
      <c r="DA634" s="1476"/>
      <c r="DB634" s="1477"/>
      <c r="DC634" s="1475">
        <f>IF(AND(BX634&gt;=1,AH772&gt;=0.1,AH772&lt;=1),O772,0)</f>
        <v>0</v>
      </c>
      <c r="DD634" s="1476"/>
      <c r="DE634" s="1476"/>
      <c r="DF634" s="1476"/>
      <c r="DG634" s="1477"/>
      <c r="DH634" s="1475">
        <f>IF(AND(CC634&gt;=1,AH772&gt;=0.1,AH772&lt;=1),O772,0)</f>
        <v>0</v>
      </c>
      <c r="DI634" s="1476"/>
      <c r="DJ634" s="1476"/>
      <c r="DK634" s="1476"/>
      <c r="DL634" s="1477"/>
      <c r="DM634" s="1475">
        <f>IF(AND(CH634&gt;=1,AH772&gt;=0.1,AH772&lt;=1),O772,0)</f>
        <v>0</v>
      </c>
      <c r="DN634" s="1476"/>
      <c r="DO634" s="1476"/>
      <c r="DP634" s="1476"/>
      <c r="DQ634" s="1477"/>
      <c r="DR634" s="1475">
        <f>IF(AND(CM634&gt;=1,AH772&gt;=0.1,AH772&lt;=1),O772,0)</f>
        <v>0</v>
      </c>
      <c r="DS634" s="1476"/>
      <c r="DT634" s="1476"/>
      <c r="DU634" s="1476"/>
      <c r="DV634" s="1477"/>
      <c r="DX634" s="1861" t="e">
        <f t="shared" si="23"/>
        <v>#VALUE!</v>
      </c>
      <c r="DY634" s="1861"/>
      <c r="DZ634" s="1861"/>
      <c r="EA634" s="1861"/>
      <c r="EB634" s="1861"/>
      <c r="EC634" s="1861" t="e">
        <f t="shared" si="24"/>
        <v>#VALUE!</v>
      </c>
      <c r="ED634" s="1861"/>
      <c r="EE634" s="1861"/>
      <c r="EF634" s="1861"/>
      <c r="EG634" s="1861"/>
      <c r="EH634" s="1861" t="e">
        <f t="shared" si="25"/>
        <v>#VALUE!</v>
      </c>
      <c r="EI634" s="1861"/>
      <c r="EJ634" s="1861"/>
      <c r="EK634" s="1861"/>
      <c r="EL634" s="1861"/>
      <c r="EM634" s="1861">
        <f t="shared" si="26"/>
        <v>60.666666666666664</v>
      </c>
      <c r="EN634" s="1861"/>
      <c r="EO634" s="1861"/>
      <c r="EP634" s="1861"/>
      <c r="EQ634" s="1861"/>
      <c r="ER634" s="1861" t="e">
        <f t="shared" si="27"/>
        <v>#VALUE!</v>
      </c>
      <c r="ES634" s="1861"/>
      <c r="ET634" s="1861"/>
      <c r="EU634" s="1861"/>
      <c r="EV634" s="1861"/>
      <c r="EW634" s="1861" t="e">
        <f t="shared" si="28"/>
        <v>#VALUE!</v>
      </c>
      <c r="EX634" s="1861"/>
      <c r="EY634" s="1861"/>
      <c r="EZ634" s="1861"/>
      <c r="FA634" s="1861"/>
    </row>
    <row r="635" spans="1:157" ht="12.95" customHeight="1">
      <c r="B635" s="1525" t="s">
        <v>129</v>
      </c>
      <c r="C635" s="1526"/>
      <c r="D635" s="1526"/>
      <c r="E635" s="1526"/>
      <c r="F635" s="1526"/>
      <c r="G635" s="1526"/>
      <c r="H635" s="1526"/>
      <c r="I635" s="1526"/>
      <c r="J635" s="1526"/>
      <c r="K635" s="1526"/>
      <c r="L635" s="1526"/>
      <c r="M635" s="1526"/>
      <c r="N635" s="1526"/>
      <c r="O635" s="1526"/>
      <c r="P635" s="1526"/>
      <c r="Q635" s="1526"/>
      <c r="R635" s="1526"/>
      <c r="S635" s="1526"/>
      <c r="T635" s="1526"/>
      <c r="U635" s="1526"/>
      <c r="V635" s="1526"/>
      <c r="W635" s="1526"/>
      <c r="X635" s="1526"/>
      <c r="Y635" s="1526"/>
      <c r="Z635" s="1526"/>
      <c r="AA635" s="1526"/>
      <c r="AB635" s="1526"/>
      <c r="AC635" s="1526"/>
      <c r="AD635" s="1526"/>
      <c r="AE635" s="1526"/>
      <c r="AF635" s="1526"/>
      <c r="AG635" s="1526"/>
      <c r="AH635" s="1526"/>
      <c r="AI635" s="1526"/>
      <c r="AJ635" s="1526"/>
      <c r="AK635" s="1526"/>
      <c r="AL635" s="1526"/>
      <c r="AM635" s="1526"/>
      <c r="AN635" s="1528"/>
      <c r="AO635" s="1522">
        <f>SUM(AO623:AR634)</f>
        <v>33209545</v>
      </c>
      <c r="AP635" s="1523"/>
      <c r="AQ635" s="1523"/>
      <c r="AR635" s="1523"/>
      <c r="AS635" s="1524"/>
      <c r="AZ635" s="3"/>
      <c r="BA635" s="3"/>
      <c r="BB635" s="3"/>
      <c r="BC635" s="3"/>
      <c r="BD635" s="3"/>
      <c r="BE635" s="3"/>
      <c r="BF635" s="3"/>
      <c r="BG635" s="3"/>
      <c r="BH635" s="3"/>
      <c r="BI635" s="3"/>
      <c r="BJ635" s="3"/>
      <c r="BK635" s="3"/>
      <c r="BL635" s="3"/>
      <c r="BM635" s="3"/>
      <c r="BN635" s="1475">
        <f t="shared" si="30"/>
        <v>0</v>
      </c>
      <c r="BO635" s="1476"/>
      <c r="BP635" s="1476"/>
      <c r="BQ635" s="1476"/>
      <c r="BR635" s="1477"/>
      <c r="BS635" s="1392">
        <f t="shared" si="31"/>
        <v>0</v>
      </c>
      <c r="BT635" s="1392"/>
      <c r="BU635" s="1392"/>
      <c r="BV635" s="1392"/>
      <c r="BW635" s="1392"/>
      <c r="BX635" s="1392">
        <f t="shared" si="32"/>
        <v>0</v>
      </c>
      <c r="BY635" s="1392"/>
      <c r="BZ635" s="1392"/>
      <c r="CA635" s="1392"/>
      <c r="CB635" s="1392"/>
      <c r="CC635" s="1392">
        <f t="shared" si="33"/>
        <v>0</v>
      </c>
      <c r="CD635" s="1392"/>
      <c r="CE635" s="1392"/>
      <c r="CF635" s="1392"/>
      <c r="CG635" s="1392"/>
      <c r="CH635" s="1392">
        <f t="shared" si="34"/>
        <v>0</v>
      </c>
      <c r="CI635" s="1392"/>
      <c r="CJ635" s="1392"/>
      <c r="CK635" s="1392"/>
      <c r="CL635" s="1392"/>
      <c r="CM635" s="1392">
        <f t="shared" si="35"/>
        <v>0</v>
      </c>
      <c r="CN635" s="1392"/>
      <c r="CO635" s="1392"/>
      <c r="CP635" s="1392"/>
      <c r="CQ635" s="1392"/>
      <c r="CR635" s="6"/>
      <c r="CS635" s="1475">
        <f t="shared" ref="CS635:CS643" si="36">IF(AND(BN635&gt;=1,AH773&gt;=0.1,AH773&lt;=1),O773,0)</f>
        <v>0</v>
      </c>
      <c r="CT635" s="1476"/>
      <c r="CU635" s="1476"/>
      <c r="CV635" s="1476"/>
      <c r="CW635" s="1477"/>
      <c r="CX635" s="1475">
        <f t="shared" ref="CX635:CX643" si="37">IF(AND(BS635&gt;=1,AH773&gt;=0.1,AH773&lt;=1),O773,0)</f>
        <v>0</v>
      </c>
      <c r="CY635" s="1476"/>
      <c r="CZ635" s="1476"/>
      <c r="DA635" s="1476"/>
      <c r="DB635" s="1477"/>
      <c r="DC635" s="1475">
        <f t="shared" ref="DC635:DC643" si="38">IF(AND(BX635&gt;=1,AH773&gt;=0.1,AH773&lt;=1),O773,0)</f>
        <v>0</v>
      </c>
      <c r="DD635" s="1476"/>
      <c r="DE635" s="1476"/>
      <c r="DF635" s="1476"/>
      <c r="DG635" s="1477"/>
      <c r="DH635" s="1475">
        <f t="shared" ref="DH635:DH643" si="39">IF(AND(CC635&gt;=1,AH773&gt;=0.1,AH773&lt;=1),O773,0)</f>
        <v>0</v>
      </c>
      <c r="DI635" s="1476"/>
      <c r="DJ635" s="1476"/>
      <c r="DK635" s="1476"/>
      <c r="DL635" s="1477"/>
      <c r="DM635" s="1475">
        <f t="shared" ref="DM635:DM643" si="40">IF(AND(CH635&gt;=1,AH773&gt;=0.1,AH773&lt;=1),O773,0)</f>
        <v>0</v>
      </c>
      <c r="DN635" s="1476"/>
      <c r="DO635" s="1476"/>
      <c r="DP635" s="1476"/>
      <c r="DQ635" s="1477"/>
      <c r="DR635" s="1475">
        <f t="shared" ref="DR635:DR643" si="41">IF(AND(CM635&gt;=1,AH773&gt;=0.1,AH773&lt;=1),O773,0)</f>
        <v>0</v>
      </c>
      <c r="DS635" s="1476"/>
      <c r="DT635" s="1476"/>
      <c r="DU635" s="1476"/>
      <c r="DV635" s="1477"/>
      <c r="DX635" s="1861" t="e">
        <f t="shared" si="23"/>
        <v>#VALUE!</v>
      </c>
      <c r="DY635" s="1861"/>
      <c r="DZ635" s="1861"/>
      <c r="EA635" s="1861"/>
      <c r="EB635" s="1861"/>
      <c r="EC635" s="1861" t="e">
        <f t="shared" si="24"/>
        <v>#VALUE!</v>
      </c>
      <c r="ED635" s="1861"/>
      <c r="EE635" s="1861"/>
      <c r="EF635" s="1861"/>
      <c r="EG635" s="1861"/>
      <c r="EH635" s="1861" t="e">
        <f t="shared" si="25"/>
        <v>#VALUE!</v>
      </c>
      <c r="EI635" s="1861"/>
      <c r="EJ635" s="1861"/>
      <c r="EK635" s="1861"/>
      <c r="EL635" s="1861"/>
      <c r="EM635" s="1861">
        <f t="shared" si="26"/>
        <v>215.83333333333331</v>
      </c>
      <c r="EN635" s="1861"/>
      <c r="EO635" s="1861"/>
      <c r="EP635" s="1861"/>
      <c r="EQ635" s="1861"/>
      <c r="ER635" s="1861" t="e">
        <f t="shared" si="27"/>
        <v>#VALUE!</v>
      </c>
      <c r="ES635" s="1861"/>
      <c r="ET635" s="1861"/>
      <c r="EU635" s="1861"/>
      <c r="EV635" s="1861"/>
      <c r="EW635" s="1861" t="e">
        <f t="shared" si="28"/>
        <v>#VALUE!</v>
      </c>
      <c r="EX635" s="1861"/>
      <c r="EY635" s="1861"/>
      <c r="EZ635" s="1861"/>
      <c r="FA635" s="1861"/>
    </row>
    <row r="636" spans="1:157" ht="12.95" customHeight="1">
      <c r="B636" s="1525" t="s">
        <v>269</v>
      </c>
      <c r="C636" s="1526"/>
      <c r="D636" s="1526"/>
      <c r="E636" s="1526"/>
      <c r="F636" s="1526"/>
      <c r="G636" s="1526"/>
      <c r="H636" s="1526"/>
      <c r="I636" s="1526"/>
      <c r="J636" s="1526"/>
      <c r="K636" s="1526"/>
      <c r="L636" s="1526"/>
      <c r="M636" s="1526"/>
      <c r="N636" s="1526"/>
      <c r="O636" s="1526"/>
      <c r="P636" s="1526"/>
      <c r="Q636" s="1526"/>
      <c r="R636" s="1526"/>
      <c r="S636" s="1526"/>
      <c r="T636" s="1526"/>
      <c r="U636" s="1526"/>
      <c r="V636" s="1526"/>
      <c r="W636" s="1526"/>
      <c r="X636" s="1526"/>
      <c r="Y636" s="1526"/>
      <c r="Z636" s="1526"/>
      <c r="AA636" s="1526"/>
      <c r="AB636" s="1526"/>
      <c r="AC636" s="1526"/>
      <c r="AD636" s="1526"/>
      <c r="AE636" s="1526"/>
      <c r="AF636" s="1526"/>
      <c r="AG636" s="1526"/>
      <c r="AH636" s="1526"/>
      <c r="AI636" s="1526"/>
      <c r="AJ636" s="1526"/>
      <c r="AK636" s="1526"/>
      <c r="AL636" s="1526"/>
      <c r="AM636" s="1526"/>
      <c r="AN636" s="1528"/>
      <c r="AO636" s="1599">
        <v>39200000</v>
      </c>
      <c r="AP636" s="1600"/>
      <c r="AQ636" s="1600"/>
      <c r="AR636" s="1600"/>
      <c r="AS636" s="1601"/>
      <c r="AZ636" s="34"/>
      <c r="BA636" s="34"/>
      <c r="BB636" s="34"/>
      <c r="BC636" s="34"/>
      <c r="BD636" s="34"/>
      <c r="BE636" s="34"/>
      <c r="BF636" s="34"/>
      <c r="BG636" s="34"/>
      <c r="BH636" s="34"/>
      <c r="BI636" s="34"/>
      <c r="BJ636" s="34"/>
      <c r="BK636" s="34"/>
      <c r="BL636" s="34"/>
      <c r="BM636" s="34"/>
      <c r="BN636" s="1475">
        <f t="shared" si="30"/>
        <v>0</v>
      </c>
      <c r="BO636" s="1476"/>
      <c r="BP636" s="1476"/>
      <c r="BQ636" s="1476"/>
      <c r="BR636" s="1477"/>
      <c r="BS636" s="1392">
        <f t="shared" si="31"/>
        <v>0</v>
      </c>
      <c r="BT636" s="1392"/>
      <c r="BU636" s="1392"/>
      <c r="BV636" s="1392"/>
      <c r="BW636" s="1392"/>
      <c r="BX636" s="1392">
        <f t="shared" si="32"/>
        <v>0</v>
      </c>
      <c r="BY636" s="1392"/>
      <c r="BZ636" s="1392"/>
      <c r="CA636" s="1392"/>
      <c r="CB636" s="1392"/>
      <c r="CC636" s="1392">
        <f t="shared" si="33"/>
        <v>0</v>
      </c>
      <c r="CD636" s="1392"/>
      <c r="CE636" s="1392"/>
      <c r="CF636" s="1392"/>
      <c r="CG636" s="1392"/>
      <c r="CH636" s="1392">
        <f t="shared" si="34"/>
        <v>0</v>
      </c>
      <c r="CI636" s="1392"/>
      <c r="CJ636" s="1392"/>
      <c r="CK636" s="1392"/>
      <c r="CL636" s="1392"/>
      <c r="CM636" s="1392">
        <f t="shared" si="35"/>
        <v>0</v>
      </c>
      <c r="CN636" s="1392"/>
      <c r="CO636" s="1392"/>
      <c r="CP636" s="1392"/>
      <c r="CQ636" s="1392"/>
      <c r="CR636" s="6"/>
      <c r="CS636" s="1475">
        <f t="shared" si="36"/>
        <v>0</v>
      </c>
      <c r="CT636" s="1476"/>
      <c r="CU636" s="1476"/>
      <c r="CV636" s="1476"/>
      <c r="CW636" s="1477"/>
      <c r="CX636" s="1475">
        <f t="shared" si="37"/>
        <v>0</v>
      </c>
      <c r="CY636" s="1476"/>
      <c r="CZ636" s="1476"/>
      <c r="DA636" s="1476"/>
      <c r="DB636" s="1477"/>
      <c r="DC636" s="1475">
        <f t="shared" si="38"/>
        <v>0</v>
      </c>
      <c r="DD636" s="1476"/>
      <c r="DE636" s="1476"/>
      <c r="DF636" s="1476"/>
      <c r="DG636" s="1477"/>
      <c r="DH636" s="1475">
        <f t="shared" si="39"/>
        <v>0</v>
      </c>
      <c r="DI636" s="1476"/>
      <c r="DJ636" s="1476"/>
      <c r="DK636" s="1476"/>
      <c r="DL636" s="1477"/>
      <c r="DM636" s="1475">
        <f t="shared" si="40"/>
        <v>0</v>
      </c>
      <c r="DN636" s="1476"/>
      <c r="DO636" s="1476"/>
      <c r="DP636" s="1476"/>
      <c r="DQ636" s="1477"/>
      <c r="DR636" s="1475">
        <f t="shared" si="41"/>
        <v>0</v>
      </c>
      <c r="DS636" s="1476"/>
      <c r="DT636" s="1476"/>
      <c r="DU636" s="1476"/>
      <c r="DV636" s="1477"/>
      <c r="DX636" s="1861" t="e">
        <f t="shared" si="23"/>
        <v>#VALUE!</v>
      </c>
      <c r="DY636" s="1861"/>
      <c r="DZ636" s="1861"/>
      <c r="EA636" s="1861"/>
      <c r="EB636" s="1861"/>
      <c r="EC636" s="1861" t="e">
        <f t="shared" si="24"/>
        <v>#VALUE!</v>
      </c>
      <c r="ED636" s="1861"/>
      <c r="EE636" s="1861"/>
      <c r="EF636" s="1861"/>
      <c r="EG636" s="1861"/>
      <c r="EH636" s="1861" t="e">
        <f t="shared" si="25"/>
        <v>#VALUE!</v>
      </c>
      <c r="EI636" s="1861"/>
      <c r="EJ636" s="1861"/>
      <c r="EK636" s="1861"/>
      <c r="EL636" s="1861"/>
      <c r="EM636" s="1861">
        <f t="shared" si="26"/>
        <v>493.84615384615387</v>
      </c>
      <c r="EN636" s="1861"/>
      <c r="EO636" s="1861"/>
      <c r="EP636" s="1861"/>
      <c r="EQ636" s="1861"/>
      <c r="ER636" s="1861" t="e">
        <f t="shared" si="27"/>
        <v>#VALUE!</v>
      </c>
      <c r="ES636" s="1861"/>
      <c r="ET636" s="1861"/>
      <c r="EU636" s="1861"/>
      <c r="EV636" s="1861"/>
      <c r="EW636" s="1861" t="e">
        <f t="shared" si="28"/>
        <v>#VALUE!</v>
      </c>
      <c r="EX636" s="1861"/>
      <c r="EY636" s="1861"/>
      <c r="EZ636" s="1861"/>
      <c r="FA636" s="1861"/>
    </row>
    <row r="637" spans="1:157" ht="12.95" customHeight="1">
      <c r="B637" s="1579" t="s">
        <v>270</v>
      </c>
      <c r="C637" s="1527"/>
      <c r="D637" s="1527"/>
      <c r="E637" s="1527"/>
      <c r="F637" s="1527"/>
      <c r="G637" s="1527"/>
      <c r="H637" s="1527"/>
      <c r="I637" s="1527"/>
      <c r="J637" s="1527"/>
      <c r="K637" s="1527"/>
      <c r="L637" s="1527"/>
      <c r="M637" s="1527"/>
      <c r="N637" s="1527"/>
      <c r="O637" s="1527"/>
      <c r="P637" s="1527"/>
      <c r="Q637" s="1527"/>
      <c r="R637" s="1527"/>
      <c r="S637" s="1527"/>
      <c r="T637" s="1527"/>
      <c r="U637" s="1527"/>
      <c r="V637" s="1527"/>
      <c r="W637" s="1527"/>
      <c r="X637" s="1527"/>
      <c r="Y637" s="1527"/>
      <c r="Z637" s="1527"/>
      <c r="AA637" s="1527"/>
      <c r="AB637" s="1527"/>
      <c r="AC637" s="1527"/>
      <c r="AD637" s="1527"/>
      <c r="AE637" s="1527"/>
      <c r="AF637" s="1527"/>
      <c r="AG637" s="1527"/>
      <c r="AH637" s="1527"/>
      <c r="AI637" s="1527"/>
      <c r="AJ637" s="1527"/>
      <c r="AK637" s="1527"/>
      <c r="AL637" s="1527"/>
      <c r="AM637" s="1527"/>
      <c r="AN637" s="1580"/>
      <c r="AO637" s="1522">
        <f>AO635+AO636</f>
        <v>72409545</v>
      </c>
      <c r="AP637" s="1523"/>
      <c r="AQ637" s="1523"/>
      <c r="AR637" s="1523"/>
      <c r="AS637" s="1524"/>
      <c r="AZ637" s="34"/>
      <c r="BA637" s="34"/>
      <c r="BB637" s="34"/>
      <c r="BC637" s="34"/>
      <c r="BD637" s="34"/>
      <c r="BE637" s="34"/>
      <c r="BF637" s="34"/>
      <c r="BG637" s="34"/>
      <c r="BH637" s="34"/>
      <c r="BI637" s="34"/>
      <c r="BJ637" s="34"/>
      <c r="BK637" s="34"/>
      <c r="BL637" s="34"/>
      <c r="BM637" s="34"/>
      <c r="BN637" s="1475">
        <f t="shared" si="30"/>
        <v>0</v>
      </c>
      <c r="BO637" s="1476"/>
      <c r="BP637" s="1476"/>
      <c r="BQ637" s="1476"/>
      <c r="BR637" s="1477"/>
      <c r="BS637" s="1392">
        <f t="shared" si="31"/>
        <v>0</v>
      </c>
      <c r="BT637" s="1392"/>
      <c r="BU637" s="1392"/>
      <c r="BV637" s="1392"/>
      <c r="BW637" s="1392"/>
      <c r="BX637" s="1392">
        <f t="shared" si="32"/>
        <v>0</v>
      </c>
      <c r="BY637" s="1392"/>
      <c r="BZ637" s="1392"/>
      <c r="CA637" s="1392"/>
      <c r="CB637" s="1392"/>
      <c r="CC637" s="1392">
        <f t="shared" si="33"/>
        <v>0</v>
      </c>
      <c r="CD637" s="1392"/>
      <c r="CE637" s="1392"/>
      <c r="CF637" s="1392"/>
      <c r="CG637" s="1392"/>
      <c r="CH637" s="1392">
        <f t="shared" si="34"/>
        <v>0</v>
      </c>
      <c r="CI637" s="1392"/>
      <c r="CJ637" s="1392"/>
      <c r="CK637" s="1392"/>
      <c r="CL637" s="1392"/>
      <c r="CM637" s="1392">
        <f t="shared" si="35"/>
        <v>0</v>
      </c>
      <c r="CN637" s="1392"/>
      <c r="CO637" s="1392"/>
      <c r="CP637" s="1392"/>
      <c r="CQ637" s="1392"/>
      <c r="CR637" s="6"/>
      <c r="CS637" s="1475">
        <f t="shared" si="36"/>
        <v>0</v>
      </c>
      <c r="CT637" s="1476"/>
      <c r="CU637" s="1476"/>
      <c r="CV637" s="1476"/>
      <c r="CW637" s="1477"/>
      <c r="CX637" s="1475">
        <f t="shared" si="37"/>
        <v>0</v>
      </c>
      <c r="CY637" s="1476"/>
      <c r="CZ637" s="1476"/>
      <c r="DA637" s="1476"/>
      <c r="DB637" s="1477"/>
      <c r="DC637" s="1475">
        <f t="shared" si="38"/>
        <v>0</v>
      </c>
      <c r="DD637" s="1476"/>
      <c r="DE637" s="1476"/>
      <c r="DF637" s="1476"/>
      <c r="DG637" s="1477"/>
      <c r="DH637" s="1475">
        <f t="shared" si="39"/>
        <v>0</v>
      </c>
      <c r="DI637" s="1476"/>
      <c r="DJ637" s="1476"/>
      <c r="DK637" s="1476"/>
      <c r="DL637" s="1477"/>
      <c r="DM637" s="1475">
        <f t="shared" si="40"/>
        <v>0</v>
      </c>
      <c r="DN637" s="1476"/>
      <c r="DO637" s="1476"/>
      <c r="DP637" s="1476"/>
      <c r="DQ637" s="1477"/>
      <c r="DR637" s="1475">
        <f t="shared" si="41"/>
        <v>0</v>
      </c>
      <c r="DS637" s="1476"/>
      <c r="DT637" s="1476"/>
      <c r="DU637" s="1476"/>
      <c r="DV637" s="1477"/>
      <c r="DX637" s="1861" t="e">
        <f t="shared" si="23"/>
        <v>#VALUE!</v>
      </c>
      <c r="DY637" s="1861"/>
      <c r="DZ637" s="1861"/>
      <c r="EA637" s="1861"/>
      <c r="EB637" s="1861"/>
      <c r="EC637" s="1861" t="e">
        <f t="shared" si="24"/>
        <v>#VALUE!</v>
      </c>
      <c r="ED637" s="1861"/>
      <c r="EE637" s="1861"/>
      <c r="EF637" s="1861"/>
      <c r="EG637" s="1861"/>
      <c r="EH637" s="1861" t="e">
        <f t="shared" si="25"/>
        <v>#VALUE!</v>
      </c>
      <c r="EI637" s="1861"/>
      <c r="EJ637" s="1861"/>
      <c r="EK637" s="1861"/>
      <c r="EL637" s="1861"/>
      <c r="EM637" s="1861">
        <f t="shared" si="26"/>
        <v>834.74358974358972</v>
      </c>
      <c r="EN637" s="1861"/>
      <c r="EO637" s="1861"/>
      <c r="EP637" s="1861"/>
      <c r="EQ637" s="1861"/>
      <c r="ER637" s="1861" t="e">
        <f t="shared" si="27"/>
        <v>#VALUE!</v>
      </c>
      <c r="ES637" s="1861"/>
      <c r="ET637" s="1861"/>
      <c r="EU637" s="1861"/>
      <c r="EV637" s="1861"/>
      <c r="EW637" s="1861" t="e">
        <f t="shared" si="28"/>
        <v>#VALUE!</v>
      </c>
      <c r="EX637" s="1861"/>
      <c r="EY637" s="1861"/>
      <c r="EZ637" s="1861"/>
      <c r="FA637" s="1861"/>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75">
        <f t="shared" si="30"/>
        <v>0</v>
      </c>
      <c r="BO638" s="1476"/>
      <c r="BP638" s="1476"/>
      <c r="BQ638" s="1476"/>
      <c r="BR638" s="1477"/>
      <c r="BS638" s="1392">
        <f t="shared" si="31"/>
        <v>0</v>
      </c>
      <c r="BT638" s="1392"/>
      <c r="BU638" s="1392"/>
      <c r="BV638" s="1392"/>
      <c r="BW638" s="1392"/>
      <c r="BX638" s="1392">
        <f t="shared" si="32"/>
        <v>0</v>
      </c>
      <c r="BY638" s="1392"/>
      <c r="BZ638" s="1392"/>
      <c r="CA638" s="1392"/>
      <c r="CB638" s="1392"/>
      <c r="CC638" s="1392">
        <f t="shared" si="33"/>
        <v>0</v>
      </c>
      <c r="CD638" s="1392"/>
      <c r="CE638" s="1392"/>
      <c r="CF638" s="1392"/>
      <c r="CG638" s="1392"/>
      <c r="CH638" s="1392">
        <f t="shared" si="34"/>
        <v>0</v>
      </c>
      <c r="CI638" s="1392"/>
      <c r="CJ638" s="1392"/>
      <c r="CK638" s="1392"/>
      <c r="CL638" s="1392"/>
      <c r="CM638" s="1392">
        <f t="shared" si="35"/>
        <v>0</v>
      </c>
      <c r="CN638" s="1392"/>
      <c r="CO638" s="1392"/>
      <c r="CP638" s="1392"/>
      <c r="CQ638" s="1392"/>
      <c r="CR638" s="6"/>
      <c r="CS638" s="1475">
        <f t="shared" si="36"/>
        <v>0</v>
      </c>
      <c r="CT638" s="1476"/>
      <c r="CU638" s="1476"/>
      <c r="CV638" s="1476"/>
      <c r="CW638" s="1477"/>
      <c r="CX638" s="1475">
        <f t="shared" si="37"/>
        <v>0</v>
      </c>
      <c r="CY638" s="1476"/>
      <c r="CZ638" s="1476"/>
      <c r="DA638" s="1476"/>
      <c r="DB638" s="1477"/>
      <c r="DC638" s="1475">
        <f t="shared" si="38"/>
        <v>0</v>
      </c>
      <c r="DD638" s="1476"/>
      <c r="DE638" s="1476"/>
      <c r="DF638" s="1476"/>
      <c r="DG638" s="1477"/>
      <c r="DH638" s="1475">
        <f t="shared" si="39"/>
        <v>0</v>
      </c>
      <c r="DI638" s="1476"/>
      <c r="DJ638" s="1476"/>
      <c r="DK638" s="1476"/>
      <c r="DL638" s="1477"/>
      <c r="DM638" s="1475">
        <f t="shared" si="40"/>
        <v>0</v>
      </c>
      <c r="DN638" s="1476"/>
      <c r="DO638" s="1476"/>
      <c r="DP638" s="1476"/>
      <c r="DQ638" s="1477"/>
      <c r="DR638" s="1475">
        <f t="shared" si="41"/>
        <v>0</v>
      </c>
      <c r="DS638" s="1476"/>
      <c r="DT638" s="1476"/>
      <c r="DU638" s="1476"/>
      <c r="DV638" s="1477"/>
      <c r="DX638" s="1861" t="e">
        <f t="shared" si="23"/>
        <v>#VALUE!</v>
      </c>
      <c r="DY638" s="1861"/>
      <c r="DZ638" s="1861"/>
      <c r="EA638" s="1861"/>
      <c r="EB638" s="1861"/>
      <c r="EC638" s="1861" t="e">
        <f t="shared" si="24"/>
        <v>#VALUE!</v>
      </c>
      <c r="ED638" s="1861"/>
      <c r="EE638" s="1861"/>
      <c r="EF638" s="1861"/>
      <c r="EG638" s="1861"/>
      <c r="EH638" s="1861" t="e">
        <f t="shared" si="25"/>
        <v>#VALUE!</v>
      </c>
      <c r="EI638" s="1861"/>
      <c r="EJ638" s="1861"/>
      <c r="EK638" s="1861"/>
      <c r="EL638" s="1861"/>
      <c r="EM638" s="1861" t="e">
        <f t="shared" si="26"/>
        <v>#VALUE!</v>
      </c>
      <c r="EN638" s="1861"/>
      <c r="EO638" s="1861"/>
      <c r="EP638" s="1861"/>
      <c r="EQ638" s="1861"/>
      <c r="ER638" s="1861" t="e">
        <f t="shared" si="27"/>
        <v>#VALUE!</v>
      </c>
      <c r="ES638" s="1861"/>
      <c r="ET638" s="1861"/>
      <c r="EU638" s="1861"/>
      <c r="EV638" s="1861"/>
      <c r="EW638" s="1861" t="e">
        <f t="shared" si="28"/>
        <v>#VALUE!</v>
      </c>
      <c r="EX638" s="1861"/>
      <c r="EY638" s="1861"/>
      <c r="EZ638" s="1861"/>
      <c r="FA638" s="1861"/>
    </row>
    <row r="639" spans="1:157" ht="12.95" customHeight="1">
      <c r="A639" s="55" t="s">
        <v>113</v>
      </c>
      <c r="B639" t="s">
        <v>473</v>
      </c>
      <c r="G639" s="1518" t="str">
        <f>C623</f>
        <v>Tax-Exempt Bonds</v>
      </c>
      <c r="H639" s="1518"/>
      <c r="I639" s="1518"/>
      <c r="J639" s="1518"/>
      <c r="K639" s="1518"/>
      <c r="L639" s="1518"/>
      <c r="M639" s="1518"/>
      <c r="N639" s="1518"/>
      <c r="O639" s="1518"/>
      <c r="P639" s="1518"/>
      <c r="Q639" s="1518"/>
      <c r="R639" s="1518"/>
      <c r="S639" s="8"/>
      <c r="T639" s="55" t="s">
        <v>114</v>
      </c>
      <c r="U639" t="s">
        <v>473</v>
      </c>
      <c r="Z639" s="1518" t="str">
        <f>C624</f>
        <v>MIP Loan</v>
      </c>
      <c r="AA639" s="1518"/>
      <c r="AB639" s="1518"/>
      <c r="AC639" s="1518"/>
      <c r="AD639" s="1518"/>
      <c r="AE639" s="1518"/>
      <c r="AF639" s="1518"/>
      <c r="AG639" s="1518"/>
      <c r="AH639" s="1518"/>
      <c r="AI639" s="1518"/>
      <c r="AJ639" s="1518"/>
      <c r="AK639" s="1518"/>
      <c r="AZ639" s="34"/>
      <c r="BA639" s="34"/>
      <c r="BB639" s="34"/>
      <c r="BC639" s="34"/>
      <c r="BD639" s="34"/>
      <c r="BE639" s="34"/>
      <c r="BF639" s="34"/>
      <c r="BG639" s="34"/>
      <c r="BH639" s="34"/>
      <c r="BI639" s="34"/>
      <c r="BJ639" s="34"/>
      <c r="BK639" s="34"/>
      <c r="BL639" s="34"/>
      <c r="BM639" s="34"/>
      <c r="BN639" s="1475">
        <f t="shared" si="30"/>
        <v>0</v>
      </c>
      <c r="BO639" s="1476"/>
      <c r="BP639" s="1476"/>
      <c r="BQ639" s="1476"/>
      <c r="BR639" s="1477"/>
      <c r="BS639" s="1392">
        <f t="shared" si="31"/>
        <v>0</v>
      </c>
      <c r="BT639" s="1392"/>
      <c r="BU639" s="1392"/>
      <c r="BV639" s="1392"/>
      <c r="BW639" s="1392"/>
      <c r="BX639" s="1392">
        <f t="shared" si="32"/>
        <v>0</v>
      </c>
      <c r="BY639" s="1392"/>
      <c r="BZ639" s="1392"/>
      <c r="CA639" s="1392"/>
      <c r="CB639" s="1392"/>
      <c r="CC639" s="1392">
        <f t="shared" si="33"/>
        <v>0</v>
      </c>
      <c r="CD639" s="1392"/>
      <c r="CE639" s="1392"/>
      <c r="CF639" s="1392"/>
      <c r="CG639" s="1392"/>
      <c r="CH639" s="1392">
        <f t="shared" si="34"/>
        <v>0</v>
      </c>
      <c r="CI639" s="1392"/>
      <c r="CJ639" s="1392"/>
      <c r="CK639" s="1392"/>
      <c r="CL639" s="1392"/>
      <c r="CM639" s="1392">
        <f t="shared" si="35"/>
        <v>0</v>
      </c>
      <c r="CN639" s="1392"/>
      <c r="CO639" s="1392"/>
      <c r="CP639" s="1392"/>
      <c r="CQ639" s="1392"/>
      <c r="CR639" s="6"/>
      <c r="CS639" s="1475">
        <f t="shared" si="36"/>
        <v>0</v>
      </c>
      <c r="CT639" s="1476"/>
      <c r="CU639" s="1476"/>
      <c r="CV639" s="1476"/>
      <c r="CW639" s="1477"/>
      <c r="CX639" s="1475">
        <f t="shared" si="37"/>
        <v>0</v>
      </c>
      <c r="CY639" s="1476"/>
      <c r="CZ639" s="1476"/>
      <c r="DA639" s="1476"/>
      <c r="DB639" s="1477"/>
      <c r="DC639" s="1475">
        <f t="shared" si="38"/>
        <v>0</v>
      </c>
      <c r="DD639" s="1476"/>
      <c r="DE639" s="1476"/>
      <c r="DF639" s="1476"/>
      <c r="DG639" s="1477"/>
      <c r="DH639" s="1475">
        <f t="shared" si="39"/>
        <v>0</v>
      </c>
      <c r="DI639" s="1476"/>
      <c r="DJ639" s="1476"/>
      <c r="DK639" s="1476"/>
      <c r="DL639" s="1477"/>
      <c r="DM639" s="1475">
        <f t="shared" si="40"/>
        <v>0</v>
      </c>
      <c r="DN639" s="1476"/>
      <c r="DO639" s="1476"/>
      <c r="DP639" s="1476"/>
      <c r="DQ639" s="1477"/>
      <c r="DR639" s="1475">
        <f t="shared" si="41"/>
        <v>0</v>
      </c>
      <c r="DS639" s="1476"/>
      <c r="DT639" s="1476"/>
      <c r="DU639" s="1476"/>
      <c r="DV639" s="1477"/>
      <c r="DX639" s="1861" t="e">
        <f t="shared" si="23"/>
        <v>#VALUE!</v>
      </c>
      <c r="DY639" s="1861"/>
      <c r="DZ639" s="1861"/>
      <c r="EA639" s="1861"/>
      <c r="EB639" s="1861"/>
      <c r="EC639" s="1861" t="e">
        <f t="shared" si="24"/>
        <v>#VALUE!</v>
      </c>
      <c r="ED639" s="1861"/>
      <c r="EE639" s="1861"/>
      <c r="EF639" s="1861"/>
      <c r="EG639" s="1861"/>
      <c r="EH639" s="1861" t="e">
        <f t="shared" si="25"/>
        <v>#VALUE!</v>
      </c>
      <c r="EI639" s="1861"/>
      <c r="EJ639" s="1861"/>
      <c r="EK639" s="1861"/>
      <c r="EL639" s="1861"/>
      <c r="EM639" s="1861" t="e">
        <f t="shared" si="26"/>
        <v>#VALUE!</v>
      </c>
      <c r="EN639" s="1861"/>
      <c r="EO639" s="1861"/>
      <c r="EP639" s="1861"/>
      <c r="EQ639" s="1861"/>
      <c r="ER639" s="1861" t="e">
        <f t="shared" si="27"/>
        <v>#VALUE!</v>
      </c>
      <c r="ES639" s="1861"/>
      <c r="ET639" s="1861"/>
      <c r="EU639" s="1861"/>
      <c r="EV639" s="1861"/>
      <c r="EW639" s="1861" t="e">
        <f t="shared" si="28"/>
        <v>#VALUE!</v>
      </c>
      <c r="EX639" s="1861"/>
      <c r="EY639" s="1861"/>
      <c r="EZ639" s="1861"/>
      <c r="FA639" s="1861"/>
    </row>
    <row r="640" spans="1:157" ht="12.95" customHeight="1">
      <c r="A640" s="22"/>
      <c r="B640" t="s">
        <v>86</v>
      </c>
      <c r="G640" s="1391" t="s">
        <v>2727</v>
      </c>
      <c r="H640" s="1391"/>
      <c r="I640" s="1391"/>
      <c r="J640" s="1391"/>
      <c r="K640" s="1391"/>
      <c r="L640" s="1391"/>
      <c r="M640" s="1391"/>
      <c r="N640" s="1391"/>
      <c r="O640" s="1391"/>
      <c r="P640" s="1391"/>
      <c r="Q640" s="1391"/>
      <c r="R640" s="1391"/>
      <c r="S640" s="8"/>
      <c r="T640" s="22"/>
      <c r="U640" t="s">
        <v>86</v>
      </c>
      <c r="Z640" s="1391" t="s">
        <v>2680</v>
      </c>
      <c r="AA640" s="1391"/>
      <c r="AB640" s="1391"/>
      <c r="AC640" s="1391"/>
      <c r="AD640" s="1391"/>
      <c r="AE640" s="1391"/>
      <c r="AF640" s="1391"/>
      <c r="AG640" s="1391"/>
      <c r="AH640" s="1391"/>
      <c r="AI640" s="1391"/>
      <c r="AJ640" s="1391"/>
      <c r="AK640" s="1391"/>
      <c r="AZ640" s="34"/>
      <c r="BA640" s="34"/>
      <c r="BB640" s="34"/>
      <c r="BC640" s="34"/>
      <c r="BD640" s="34"/>
      <c r="BE640" s="34"/>
      <c r="BF640" s="34"/>
      <c r="BG640" s="34"/>
      <c r="BH640" s="34"/>
      <c r="BI640" s="34"/>
      <c r="BJ640" s="34"/>
      <c r="BK640" s="34"/>
      <c r="BL640" s="34"/>
      <c r="BM640" s="34"/>
      <c r="BN640" s="1475">
        <f t="shared" si="30"/>
        <v>0</v>
      </c>
      <c r="BO640" s="1476"/>
      <c r="BP640" s="1476"/>
      <c r="BQ640" s="1476"/>
      <c r="BR640" s="1477"/>
      <c r="BS640" s="1392">
        <f t="shared" si="31"/>
        <v>0</v>
      </c>
      <c r="BT640" s="1392"/>
      <c r="BU640" s="1392"/>
      <c r="BV640" s="1392"/>
      <c r="BW640" s="1392"/>
      <c r="BX640" s="1392">
        <f t="shared" si="32"/>
        <v>0</v>
      </c>
      <c r="BY640" s="1392"/>
      <c r="BZ640" s="1392"/>
      <c r="CA640" s="1392"/>
      <c r="CB640" s="1392"/>
      <c r="CC640" s="1392">
        <f t="shared" si="33"/>
        <v>0</v>
      </c>
      <c r="CD640" s="1392"/>
      <c r="CE640" s="1392"/>
      <c r="CF640" s="1392"/>
      <c r="CG640" s="1392"/>
      <c r="CH640" s="1392">
        <f t="shared" si="34"/>
        <v>0</v>
      </c>
      <c r="CI640" s="1392"/>
      <c r="CJ640" s="1392"/>
      <c r="CK640" s="1392"/>
      <c r="CL640" s="1392"/>
      <c r="CM640" s="1392">
        <f t="shared" si="35"/>
        <v>0</v>
      </c>
      <c r="CN640" s="1392"/>
      <c r="CO640" s="1392"/>
      <c r="CP640" s="1392"/>
      <c r="CQ640" s="1392"/>
      <c r="CR640" s="6"/>
      <c r="CS640" s="1475">
        <f t="shared" si="36"/>
        <v>0</v>
      </c>
      <c r="CT640" s="1476"/>
      <c r="CU640" s="1476"/>
      <c r="CV640" s="1476"/>
      <c r="CW640" s="1477"/>
      <c r="CX640" s="1475">
        <f t="shared" si="37"/>
        <v>0</v>
      </c>
      <c r="CY640" s="1476"/>
      <c r="CZ640" s="1476"/>
      <c r="DA640" s="1476"/>
      <c r="DB640" s="1477"/>
      <c r="DC640" s="1475">
        <f t="shared" si="38"/>
        <v>0</v>
      </c>
      <c r="DD640" s="1476"/>
      <c r="DE640" s="1476"/>
      <c r="DF640" s="1476"/>
      <c r="DG640" s="1477"/>
      <c r="DH640" s="1475">
        <f t="shared" si="39"/>
        <v>0</v>
      </c>
      <c r="DI640" s="1476"/>
      <c r="DJ640" s="1476"/>
      <c r="DK640" s="1476"/>
      <c r="DL640" s="1477"/>
      <c r="DM640" s="1475">
        <f t="shared" si="40"/>
        <v>0</v>
      </c>
      <c r="DN640" s="1476"/>
      <c r="DO640" s="1476"/>
      <c r="DP640" s="1476"/>
      <c r="DQ640" s="1477"/>
      <c r="DR640" s="1475">
        <f t="shared" si="41"/>
        <v>0</v>
      </c>
      <c r="DS640" s="1476"/>
      <c r="DT640" s="1476"/>
      <c r="DU640" s="1476"/>
      <c r="DV640" s="1477"/>
      <c r="DX640" s="1861" t="e">
        <f t="shared" si="23"/>
        <v>#VALUE!</v>
      </c>
      <c r="DY640" s="1861"/>
      <c r="DZ640" s="1861"/>
      <c r="EA640" s="1861"/>
      <c r="EB640" s="1861"/>
      <c r="EC640" s="1861" t="e">
        <f t="shared" si="24"/>
        <v>#VALUE!</v>
      </c>
      <c r="ED640" s="1861"/>
      <c r="EE640" s="1861"/>
      <c r="EF640" s="1861"/>
      <c r="EG640" s="1861"/>
      <c r="EH640" s="1861" t="e">
        <f t="shared" si="25"/>
        <v>#VALUE!</v>
      </c>
      <c r="EI640" s="1861"/>
      <c r="EJ640" s="1861"/>
      <c r="EK640" s="1861"/>
      <c r="EL640" s="1861"/>
      <c r="EM640" s="1861" t="e">
        <f t="shared" si="26"/>
        <v>#VALUE!</v>
      </c>
      <c r="EN640" s="1861"/>
      <c r="EO640" s="1861"/>
      <c r="EP640" s="1861"/>
      <c r="EQ640" s="1861"/>
      <c r="ER640" s="1861" t="e">
        <f t="shared" si="27"/>
        <v>#VALUE!</v>
      </c>
      <c r="ES640" s="1861"/>
      <c r="ET640" s="1861"/>
      <c r="EU640" s="1861"/>
      <c r="EV640" s="1861"/>
      <c r="EW640" s="1861" t="e">
        <f t="shared" si="28"/>
        <v>#VALUE!</v>
      </c>
      <c r="EX640" s="1861"/>
      <c r="EY640" s="1861"/>
      <c r="EZ640" s="1861"/>
      <c r="FA640" s="1861"/>
    </row>
    <row r="641" spans="1:157" ht="12.95" customHeight="1">
      <c r="A641" s="22"/>
      <c r="B641" t="s">
        <v>590</v>
      </c>
      <c r="G641" s="1391" t="s">
        <v>2728</v>
      </c>
      <c r="H641" s="1391"/>
      <c r="I641" s="1391"/>
      <c r="J641" s="1391"/>
      <c r="K641" s="1391"/>
      <c r="L641" s="1391"/>
      <c r="M641" s="1391"/>
      <c r="N641" s="1391"/>
      <c r="O641" s="1391"/>
      <c r="P641" s="1391"/>
      <c r="Q641" s="1391"/>
      <c r="R641" s="1391"/>
      <c r="T641" s="22"/>
      <c r="U641" t="s">
        <v>590</v>
      </c>
      <c r="Z641" s="1374" t="s">
        <v>2681</v>
      </c>
      <c r="AA641" s="1374"/>
      <c r="AB641" s="1374"/>
      <c r="AC641" s="1374"/>
      <c r="AD641" s="1374"/>
      <c r="AE641" s="1374"/>
      <c r="AF641" s="1374"/>
      <c r="AG641" s="1374"/>
      <c r="AH641" s="1374"/>
      <c r="AI641" s="1374"/>
      <c r="AJ641" s="1374"/>
      <c r="AK641" s="1374"/>
      <c r="AZ641" s="34"/>
      <c r="BA641" s="34"/>
      <c r="BB641" s="34"/>
      <c r="BC641" s="34"/>
      <c r="BD641" s="34"/>
      <c r="BE641" s="34"/>
      <c r="BF641" s="34"/>
      <c r="BG641" s="34"/>
      <c r="BH641" s="34"/>
      <c r="BI641" s="34"/>
      <c r="BJ641" s="34"/>
      <c r="BK641" s="34"/>
      <c r="BL641" s="34"/>
      <c r="BM641" s="34"/>
      <c r="BN641" s="1475">
        <f t="shared" si="30"/>
        <v>0</v>
      </c>
      <c r="BO641" s="1476"/>
      <c r="BP641" s="1476"/>
      <c r="BQ641" s="1476"/>
      <c r="BR641" s="1477"/>
      <c r="BS641" s="1392">
        <f t="shared" si="31"/>
        <v>0</v>
      </c>
      <c r="BT641" s="1392"/>
      <c r="BU641" s="1392"/>
      <c r="BV641" s="1392"/>
      <c r="BW641" s="1392"/>
      <c r="BX641" s="1392">
        <f t="shared" si="32"/>
        <v>0</v>
      </c>
      <c r="BY641" s="1392"/>
      <c r="BZ641" s="1392"/>
      <c r="CA641" s="1392"/>
      <c r="CB641" s="1392"/>
      <c r="CC641" s="1392">
        <f t="shared" si="33"/>
        <v>0</v>
      </c>
      <c r="CD641" s="1392"/>
      <c r="CE641" s="1392"/>
      <c r="CF641" s="1392"/>
      <c r="CG641" s="1392"/>
      <c r="CH641" s="1392">
        <f t="shared" si="34"/>
        <v>0</v>
      </c>
      <c r="CI641" s="1392"/>
      <c r="CJ641" s="1392"/>
      <c r="CK641" s="1392"/>
      <c r="CL641" s="1392"/>
      <c r="CM641" s="1392">
        <f t="shared" si="35"/>
        <v>0</v>
      </c>
      <c r="CN641" s="1392"/>
      <c r="CO641" s="1392"/>
      <c r="CP641" s="1392"/>
      <c r="CQ641" s="1392"/>
      <c r="CR641" s="6"/>
      <c r="CS641" s="1475">
        <f t="shared" si="36"/>
        <v>0</v>
      </c>
      <c r="CT641" s="1476"/>
      <c r="CU641" s="1476"/>
      <c r="CV641" s="1476"/>
      <c r="CW641" s="1477"/>
      <c r="CX641" s="1475">
        <f t="shared" si="37"/>
        <v>0</v>
      </c>
      <c r="CY641" s="1476"/>
      <c r="CZ641" s="1476"/>
      <c r="DA641" s="1476"/>
      <c r="DB641" s="1477"/>
      <c r="DC641" s="1475">
        <f t="shared" si="38"/>
        <v>0</v>
      </c>
      <c r="DD641" s="1476"/>
      <c r="DE641" s="1476"/>
      <c r="DF641" s="1476"/>
      <c r="DG641" s="1477"/>
      <c r="DH641" s="1475">
        <f t="shared" si="39"/>
        <v>0</v>
      </c>
      <c r="DI641" s="1476"/>
      <c r="DJ641" s="1476"/>
      <c r="DK641" s="1476"/>
      <c r="DL641" s="1477"/>
      <c r="DM641" s="1475">
        <f t="shared" si="40"/>
        <v>0</v>
      </c>
      <c r="DN641" s="1476"/>
      <c r="DO641" s="1476"/>
      <c r="DP641" s="1476"/>
      <c r="DQ641" s="1477"/>
      <c r="DR641" s="1475">
        <f t="shared" si="41"/>
        <v>0</v>
      </c>
      <c r="DS641" s="1476"/>
      <c r="DT641" s="1476"/>
      <c r="DU641" s="1476"/>
      <c r="DV641" s="1477"/>
      <c r="DX641" s="1861" t="e">
        <f t="shared" si="23"/>
        <v>#VALUE!</v>
      </c>
      <c r="DY641" s="1861"/>
      <c r="DZ641" s="1861"/>
      <c r="EA641" s="1861"/>
      <c r="EB641" s="1861"/>
      <c r="EC641" s="1861" t="e">
        <f t="shared" si="24"/>
        <v>#VALUE!</v>
      </c>
      <c r="ED641" s="1861"/>
      <c r="EE641" s="1861"/>
      <c r="EF641" s="1861"/>
      <c r="EG641" s="1861"/>
      <c r="EH641" s="1861" t="e">
        <f t="shared" si="25"/>
        <v>#VALUE!</v>
      </c>
      <c r="EI641" s="1861"/>
      <c r="EJ641" s="1861"/>
      <c r="EK641" s="1861"/>
      <c r="EL641" s="1861"/>
      <c r="EM641" s="1861" t="e">
        <f t="shared" si="26"/>
        <v>#VALUE!</v>
      </c>
      <c r="EN641" s="1861"/>
      <c r="EO641" s="1861"/>
      <c r="EP641" s="1861"/>
      <c r="EQ641" s="1861"/>
      <c r="ER641" s="1861" t="e">
        <f t="shared" si="27"/>
        <v>#VALUE!</v>
      </c>
      <c r="ES641" s="1861"/>
      <c r="ET641" s="1861"/>
      <c r="EU641" s="1861"/>
      <c r="EV641" s="1861"/>
      <c r="EW641" s="1861" t="e">
        <f t="shared" si="28"/>
        <v>#VALUE!</v>
      </c>
      <c r="EX641" s="1861"/>
      <c r="EY641" s="1861"/>
      <c r="EZ641" s="1861"/>
      <c r="FA641" s="1861"/>
    </row>
    <row r="642" spans="1:157" ht="12.95" customHeight="1">
      <c r="A642" s="22"/>
      <c r="B642" t="s">
        <v>17</v>
      </c>
      <c r="G642" s="1391" t="s">
        <v>2729</v>
      </c>
      <c r="H642" s="1391"/>
      <c r="I642" s="1391"/>
      <c r="J642" s="1391"/>
      <c r="K642" s="1391"/>
      <c r="L642" s="1391"/>
      <c r="M642" s="1391"/>
      <c r="N642" s="1391"/>
      <c r="O642" s="1391"/>
      <c r="P642" s="1391"/>
      <c r="Q642" s="1391"/>
      <c r="R642" s="1391"/>
      <c r="S642" s="8"/>
      <c r="T642" s="22"/>
      <c r="U642" t="s">
        <v>17</v>
      </c>
      <c r="Z642" s="1374" t="s">
        <v>2682</v>
      </c>
      <c r="AA642" s="1374"/>
      <c r="AB642" s="1374"/>
      <c r="AC642" s="1374"/>
      <c r="AD642" s="1374"/>
      <c r="AE642" s="1374"/>
      <c r="AF642" s="1374"/>
      <c r="AG642" s="1374"/>
      <c r="AH642" s="1374"/>
      <c r="AI642" s="1374"/>
      <c r="AJ642" s="1374"/>
      <c r="AK642" s="1374"/>
      <c r="AZ642" s="34"/>
      <c r="BA642" s="34"/>
      <c r="BB642" s="34"/>
      <c r="BC642" s="34"/>
      <c r="BD642" s="34"/>
      <c r="BE642" s="34"/>
      <c r="BF642" s="34"/>
      <c r="BG642" s="34"/>
      <c r="BH642" s="34"/>
      <c r="BI642" s="34"/>
      <c r="BJ642" s="34"/>
      <c r="BK642" s="34"/>
      <c r="BL642" s="34"/>
      <c r="BM642" s="34"/>
      <c r="BN642" s="1475">
        <f t="shared" si="30"/>
        <v>0</v>
      </c>
      <c r="BO642" s="1476"/>
      <c r="BP642" s="1476"/>
      <c r="BQ642" s="1476"/>
      <c r="BR642" s="1477"/>
      <c r="BS642" s="1392">
        <f t="shared" si="31"/>
        <v>0</v>
      </c>
      <c r="BT642" s="1392"/>
      <c r="BU642" s="1392"/>
      <c r="BV642" s="1392"/>
      <c r="BW642" s="1392"/>
      <c r="BX642" s="1392">
        <f t="shared" si="32"/>
        <v>0</v>
      </c>
      <c r="BY642" s="1392"/>
      <c r="BZ642" s="1392"/>
      <c r="CA642" s="1392"/>
      <c r="CB642" s="1392"/>
      <c r="CC642" s="1392">
        <f t="shared" si="33"/>
        <v>0</v>
      </c>
      <c r="CD642" s="1392"/>
      <c r="CE642" s="1392"/>
      <c r="CF642" s="1392"/>
      <c r="CG642" s="1392"/>
      <c r="CH642" s="1392">
        <f t="shared" si="34"/>
        <v>0</v>
      </c>
      <c r="CI642" s="1392"/>
      <c r="CJ642" s="1392"/>
      <c r="CK642" s="1392"/>
      <c r="CL642" s="1392"/>
      <c r="CM642" s="1392">
        <f t="shared" si="35"/>
        <v>0</v>
      </c>
      <c r="CN642" s="1392"/>
      <c r="CO642" s="1392"/>
      <c r="CP642" s="1392"/>
      <c r="CQ642" s="1392"/>
      <c r="CR642" s="6"/>
      <c r="CS642" s="1475">
        <f t="shared" si="36"/>
        <v>0</v>
      </c>
      <c r="CT642" s="1476"/>
      <c r="CU642" s="1476"/>
      <c r="CV642" s="1476"/>
      <c r="CW642" s="1477"/>
      <c r="CX642" s="1475">
        <f t="shared" si="37"/>
        <v>0</v>
      </c>
      <c r="CY642" s="1476"/>
      <c r="CZ642" s="1476"/>
      <c r="DA642" s="1476"/>
      <c r="DB642" s="1477"/>
      <c r="DC642" s="1475">
        <f t="shared" si="38"/>
        <v>0</v>
      </c>
      <c r="DD642" s="1476"/>
      <c r="DE642" s="1476"/>
      <c r="DF642" s="1476"/>
      <c r="DG642" s="1477"/>
      <c r="DH642" s="1475">
        <f t="shared" si="39"/>
        <v>0</v>
      </c>
      <c r="DI642" s="1476"/>
      <c r="DJ642" s="1476"/>
      <c r="DK642" s="1476"/>
      <c r="DL642" s="1477"/>
      <c r="DM642" s="1475">
        <f t="shared" si="40"/>
        <v>0</v>
      </c>
      <c r="DN642" s="1476"/>
      <c r="DO642" s="1476"/>
      <c r="DP642" s="1476"/>
      <c r="DQ642" s="1477"/>
      <c r="DR642" s="1475">
        <f t="shared" si="41"/>
        <v>0</v>
      </c>
      <c r="DS642" s="1476"/>
      <c r="DT642" s="1476"/>
      <c r="DU642" s="1476"/>
      <c r="DV642" s="1477"/>
      <c r="DX642" s="1861" t="e">
        <f t="shared" si="23"/>
        <v>#VALUE!</v>
      </c>
      <c r="DY642" s="1861"/>
      <c r="DZ642" s="1861"/>
      <c r="EA642" s="1861"/>
      <c r="EB642" s="1861"/>
      <c r="EC642" s="1861" t="e">
        <f t="shared" si="24"/>
        <v>#VALUE!</v>
      </c>
      <c r="ED642" s="1861"/>
      <c r="EE642" s="1861"/>
      <c r="EF642" s="1861"/>
      <c r="EG642" s="1861"/>
      <c r="EH642" s="1861" t="e">
        <f t="shared" si="25"/>
        <v>#VALUE!</v>
      </c>
      <c r="EI642" s="1861"/>
      <c r="EJ642" s="1861"/>
      <c r="EK642" s="1861"/>
      <c r="EL642" s="1861"/>
      <c r="EM642" s="1861" t="e">
        <f t="shared" si="26"/>
        <v>#VALUE!</v>
      </c>
      <c r="EN642" s="1861"/>
      <c r="EO642" s="1861"/>
      <c r="EP642" s="1861"/>
      <c r="EQ642" s="1861"/>
      <c r="ER642" s="1861" t="e">
        <f t="shared" si="27"/>
        <v>#VALUE!</v>
      </c>
      <c r="ES642" s="1861"/>
      <c r="ET642" s="1861"/>
      <c r="EU642" s="1861"/>
      <c r="EV642" s="1861"/>
      <c r="EW642" s="1861" t="e">
        <f t="shared" si="28"/>
        <v>#VALUE!</v>
      </c>
      <c r="EX642" s="1861"/>
      <c r="EY642" s="1861"/>
      <c r="EZ642" s="1861"/>
      <c r="FA642" s="1861"/>
    </row>
    <row r="643" spans="1:157" ht="12.95" customHeight="1">
      <c r="A643" s="22"/>
      <c r="B643" t="s">
        <v>318</v>
      </c>
      <c r="G643" s="1463" t="s">
        <v>2730</v>
      </c>
      <c r="H643" s="1463"/>
      <c r="I643" s="1463"/>
      <c r="J643" s="1463"/>
      <c r="K643" s="1463"/>
      <c r="L643" s="1463"/>
      <c r="O643" s="1073" t="s">
        <v>208</v>
      </c>
      <c r="P643" s="1390"/>
      <c r="Q643" s="1390"/>
      <c r="R643" s="1390"/>
      <c r="S643" s="10"/>
      <c r="T643" s="22"/>
      <c r="U643" t="s">
        <v>318</v>
      </c>
      <c r="Z643" s="1463" t="s">
        <v>2737</v>
      </c>
      <c r="AA643" s="1463"/>
      <c r="AB643" s="1463"/>
      <c r="AC643" s="1463"/>
      <c r="AD643" s="1463"/>
      <c r="AE643" s="1463"/>
      <c r="AH643" s="1073" t="s">
        <v>208</v>
      </c>
      <c r="AI643" s="1390"/>
      <c r="AJ643" s="1390"/>
      <c r="AK643" s="1390"/>
      <c r="AZ643" s="34"/>
      <c r="BA643" s="34"/>
      <c r="BB643" s="34"/>
      <c r="BC643" s="34"/>
      <c r="BD643" s="34"/>
      <c r="BE643" s="34"/>
      <c r="BF643" s="34"/>
      <c r="BG643" s="34"/>
      <c r="BH643" s="34"/>
      <c r="BI643" s="34"/>
      <c r="BJ643" s="34"/>
      <c r="BK643" s="34"/>
      <c r="BL643" s="34"/>
      <c r="BM643" s="34"/>
      <c r="BN643" s="1475">
        <f t="shared" si="30"/>
        <v>0</v>
      </c>
      <c r="BO643" s="1476"/>
      <c r="BP643" s="1476"/>
      <c r="BQ643" s="1476"/>
      <c r="BR643" s="1477"/>
      <c r="BS643" s="1392">
        <f t="shared" si="31"/>
        <v>0</v>
      </c>
      <c r="BT643" s="1392"/>
      <c r="BU643" s="1392"/>
      <c r="BV643" s="1392"/>
      <c r="BW643" s="1392"/>
      <c r="BX643" s="1392">
        <f t="shared" si="32"/>
        <v>0</v>
      </c>
      <c r="BY643" s="1392"/>
      <c r="BZ643" s="1392"/>
      <c r="CA643" s="1392"/>
      <c r="CB643" s="1392"/>
      <c r="CC643" s="1392">
        <f t="shared" si="33"/>
        <v>0</v>
      </c>
      <c r="CD643" s="1392"/>
      <c r="CE643" s="1392"/>
      <c r="CF643" s="1392"/>
      <c r="CG643" s="1392"/>
      <c r="CH643" s="1392">
        <f t="shared" si="34"/>
        <v>0</v>
      </c>
      <c r="CI643" s="1392"/>
      <c r="CJ643" s="1392"/>
      <c r="CK643" s="1392"/>
      <c r="CL643" s="1392"/>
      <c r="CM643" s="1392">
        <f t="shared" si="35"/>
        <v>0</v>
      </c>
      <c r="CN643" s="1392"/>
      <c r="CO643" s="1392"/>
      <c r="CP643" s="1392"/>
      <c r="CQ643" s="1392"/>
      <c r="CR643" s="6"/>
      <c r="CS643" s="1475">
        <f t="shared" si="36"/>
        <v>0</v>
      </c>
      <c r="CT643" s="1476"/>
      <c r="CU643" s="1476"/>
      <c r="CV643" s="1476"/>
      <c r="CW643" s="1477"/>
      <c r="CX643" s="1475">
        <f t="shared" si="37"/>
        <v>0</v>
      </c>
      <c r="CY643" s="1476"/>
      <c r="CZ643" s="1476"/>
      <c r="DA643" s="1476"/>
      <c r="DB643" s="1477"/>
      <c r="DC643" s="1475">
        <f t="shared" si="38"/>
        <v>0</v>
      </c>
      <c r="DD643" s="1476"/>
      <c r="DE643" s="1476"/>
      <c r="DF643" s="1476"/>
      <c r="DG643" s="1477"/>
      <c r="DH643" s="1475">
        <f t="shared" si="39"/>
        <v>0</v>
      </c>
      <c r="DI643" s="1476"/>
      <c r="DJ643" s="1476"/>
      <c r="DK643" s="1476"/>
      <c r="DL643" s="1477"/>
      <c r="DM643" s="1475">
        <f t="shared" si="40"/>
        <v>0</v>
      </c>
      <c r="DN643" s="1476"/>
      <c r="DO643" s="1476"/>
      <c r="DP643" s="1476"/>
      <c r="DQ643" s="1477"/>
      <c r="DR643" s="1475">
        <f t="shared" si="41"/>
        <v>0</v>
      </c>
      <c r="DS643" s="1476"/>
      <c r="DT643" s="1476"/>
      <c r="DU643" s="1476"/>
      <c r="DV643" s="1477"/>
      <c r="DX643" s="1861" t="e">
        <f t="shared" si="23"/>
        <v>#VALUE!</v>
      </c>
      <c r="DY643" s="1861"/>
      <c r="DZ643" s="1861"/>
      <c r="EA643" s="1861"/>
      <c r="EB643" s="1861"/>
      <c r="EC643" s="1861" t="e">
        <f t="shared" si="24"/>
        <v>#VALUE!</v>
      </c>
      <c r="ED643" s="1861"/>
      <c r="EE643" s="1861"/>
      <c r="EF643" s="1861"/>
      <c r="EG643" s="1861"/>
      <c r="EH643" s="1861" t="e">
        <f t="shared" si="25"/>
        <v>#VALUE!</v>
      </c>
      <c r="EI643" s="1861"/>
      <c r="EJ643" s="1861"/>
      <c r="EK643" s="1861"/>
      <c r="EL643" s="1861"/>
      <c r="EM643" s="1861" t="e">
        <f t="shared" si="26"/>
        <v>#VALUE!</v>
      </c>
      <c r="EN643" s="1861"/>
      <c r="EO643" s="1861"/>
      <c r="EP643" s="1861"/>
      <c r="EQ643" s="1861"/>
      <c r="ER643" s="1861" t="e">
        <f t="shared" si="27"/>
        <v>#VALUE!</v>
      </c>
      <c r="ES643" s="1861"/>
      <c r="ET643" s="1861"/>
      <c r="EU643" s="1861"/>
      <c r="EV643" s="1861"/>
      <c r="EW643" s="1861" t="e">
        <f t="shared" si="28"/>
        <v>#VALUE!</v>
      </c>
      <c r="EX643" s="1861"/>
      <c r="EY643" s="1861"/>
      <c r="EZ643" s="1861"/>
      <c r="FA643" s="1861"/>
    </row>
    <row r="644" spans="1:157" ht="12.95" customHeight="1">
      <c r="A644" s="22"/>
      <c r="B644" t="s">
        <v>18</v>
      </c>
      <c r="H644" s="1391" t="s">
        <v>2721</v>
      </c>
      <c r="I644" s="1391"/>
      <c r="J644" s="1391"/>
      <c r="K644" s="1391"/>
      <c r="L644" s="1391"/>
      <c r="M644" s="1391"/>
      <c r="N644" s="1391"/>
      <c r="O644" s="1391"/>
      <c r="P644" s="1391"/>
      <c r="Q644" s="1391"/>
      <c r="R644" s="1391"/>
      <c r="S644" s="8"/>
      <c r="T644" s="22"/>
      <c r="U644" t="s">
        <v>18</v>
      </c>
      <c r="AA644" s="1391" t="s">
        <v>2738</v>
      </c>
      <c r="AB644" s="1391"/>
      <c r="AC644" s="1391"/>
      <c r="AD644" s="1391"/>
      <c r="AE644" s="1391"/>
      <c r="AF644" s="1391"/>
      <c r="AG644" s="1391"/>
      <c r="AH644" s="1391"/>
      <c r="AI644" s="1391"/>
      <c r="AJ644" s="1391"/>
      <c r="AK644" s="1391"/>
      <c r="AZ644" s="34"/>
      <c r="BA644" s="34"/>
      <c r="BB644" s="34"/>
      <c r="BC644" s="34"/>
      <c r="BD644" s="34"/>
      <c r="BE644" s="34"/>
      <c r="BF644" s="34"/>
      <c r="BG644" s="34"/>
      <c r="BH644" s="34"/>
      <c r="BI644" s="34"/>
      <c r="BJ644" s="34"/>
      <c r="BK644" s="34"/>
      <c r="BL644" s="34"/>
      <c r="BM644" s="34"/>
      <c r="BN644" s="1473">
        <f>SUM(BN634:BR643)</f>
        <v>0</v>
      </c>
      <c r="BO644" s="1516"/>
      <c r="BP644" s="1516"/>
      <c r="BQ644" s="1516"/>
      <c r="BR644" s="1474"/>
      <c r="BS644" s="1705">
        <f>SUM(BS634:BW643)</f>
        <v>0</v>
      </c>
      <c r="BT644" s="1706"/>
      <c r="BU644" s="1706"/>
      <c r="BV644" s="1706"/>
      <c r="BW644" s="1707"/>
      <c r="BX644" s="1705">
        <f>SUM(BX634:CB643)</f>
        <v>0</v>
      </c>
      <c r="BY644" s="1706"/>
      <c r="BZ644" s="1706"/>
      <c r="CA644" s="1706"/>
      <c r="CB644" s="1707"/>
      <c r="CC644" s="1705">
        <f>SUM(CC634:CG643)</f>
        <v>0</v>
      </c>
      <c r="CD644" s="1706"/>
      <c r="CE644" s="1706"/>
      <c r="CF644" s="1706"/>
      <c r="CG644" s="1707"/>
      <c r="CH644" s="1705">
        <f>SUM(CH634:CL643)</f>
        <v>0</v>
      </c>
      <c r="CI644" s="1706"/>
      <c r="CJ644" s="1706"/>
      <c r="CK644" s="1706"/>
      <c r="CL644" s="1707"/>
      <c r="CM644" s="1705">
        <f>SUM(CM634:CQ643)</f>
        <v>0</v>
      </c>
      <c r="CN644" s="1706"/>
      <c r="CO644" s="1706"/>
      <c r="CP644" s="1706"/>
      <c r="CQ644" s="1707"/>
      <c r="CR644" s="1046"/>
      <c r="CS644" s="1597">
        <f>SUM(CS634:CW643)</f>
        <v>0</v>
      </c>
      <c r="CT644" s="1597"/>
      <c r="CU644" s="1597"/>
      <c r="CV644" s="1597"/>
      <c r="CW644" s="1597"/>
      <c r="CX644" s="1597">
        <f>SUM(CX634:DB643)</f>
        <v>0</v>
      </c>
      <c r="CY644" s="1597"/>
      <c r="CZ644" s="1597"/>
      <c r="DA644" s="1597"/>
      <c r="DB644" s="1597"/>
      <c r="DC644" s="1597">
        <f>SUM(DC634:DG643)</f>
        <v>0</v>
      </c>
      <c r="DD644" s="1597"/>
      <c r="DE644" s="1597"/>
      <c r="DF644" s="1597"/>
      <c r="DG644" s="1597"/>
      <c r="DH644" s="1597">
        <f>SUM(DH634:DL643)</f>
        <v>0</v>
      </c>
      <c r="DI644" s="1597"/>
      <c r="DJ644" s="1597"/>
      <c r="DK644" s="1597"/>
      <c r="DL644" s="1597"/>
      <c r="DM644" s="1597">
        <f>SUM(DM634:DQ643)</f>
        <v>0</v>
      </c>
      <c r="DN644" s="1597"/>
      <c r="DO644" s="1597"/>
      <c r="DP644" s="1597"/>
      <c r="DQ644" s="1597"/>
      <c r="DR644" s="1597">
        <f>SUM(DR634:DV643)</f>
        <v>0</v>
      </c>
      <c r="DS644" s="1597"/>
      <c r="DT644" s="1597"/>
      <c r="DU644" s="1597"/>
      <c r="DV644" s="1597"/>
      <c r="DX644" s="1861" t="e">
        <f t="shared" si="23"/>
        <v>#VALUE!</v>
      </c>
      <c r="DY644" s="1861"/>
      <c r="DZ644" s="1861"/>
      <c r="EA644" s="1861"/>
      <c r="EB644" s="1861"/>
      <c r="EC644" s="1861" t="e">
        <f t="shared" si="24"/>
        <v>#VALUE!</v>
      </c>
      <c r="ED644" s="1861"/>
      <c r="EE644" s="1861"/>
      <c r="EF644" s="1861"/>
      <c r="EG644" s="1861"/>
      <c r="EH644" s="1861" t="e">
        <f t="shared" si="25"/>
        <v>#VALUE!</v>
      </c>
      <c r="EI644" s="1861"/>
      <c r="EJ644" s="1861"/>
      <c r="EK644" s="1861"/>
      <c r="EL644" s="1861"/>
      <c r="EM644" s="1861" t="e">
        <f t="shared" si="26"/>
        <v>#VALUE!</v>
      </c>
      <c r="EN644" s="1861"/>
      <c r="EO644" s="1861"/>
      <c r="EP644" s="1861"/>
      <c r="EQ644" s="1861"/>
      <c r="ER644" s="1861" t="e">
        <f t="shared" si="27"/>
        <v>#VALUE!</v>
      </c>
      <c r="ES644" s="1861"/>
      <c r="ET644" s="1861"/>
      <c r="EU644" s="1861"/>
      <c r="EV644" s="1861"/>
      <c r="EW644" s="1861" t="e">
        <f t="shared" si="28"/>
        <v>#VALUE!</v>
      </c>
      <c r="EX644" s="1861"/>
      <c r="EY644" s="1861"/>
      <c r="EZ644" s="1861"/>
      <c r="FA644" s="1861"/>
    </row>
    <row r="645" spans="1:157" ht="12.95" customHeight="1">
      <c r="A645" s="22"/>
      <c r="B645" t="s">
        <v>20</v>
      </c>
      <c r="N645" s="1378" t="s">
        <v>679</v>
      </c>
      <c r="O645" s="1378"/>
      <c r="T645" s="22"/>
      <c r="U645" t="s">
        <v>20</v>
      </c>
      <c r="AG645" s="1378" t="s">
        <v>555</v>
      </c>
      <c r="AH645" s="1378"/>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61" t="e">
        <f t="shared" si="23"/>
        <v>#VALUE!</v>
      </c>
      <c r="DY645" s="1861"/>
      <c r="DZ645" s="1861"/>
      <c r="EA645" s="1861"/>
      <c r="EB645" s="1861"/>
      <c r="EC645" s="1861" t="e">
        <f t="shared" si="24"/>
        <v>#VALUE!</v>
      </c>
      <c r="ED645" s="1861"/>
      <c r="EE645" s="1861"/>
      <c r="EF645" s="1861"/>
      <c r="EG645" s="1861"/>
      <c r="EH645" s="1861" t="e">
        <f t="shared" si="25"/>
        <v>#VALUE!</v>
      </c>
      <c r="EI645" s="1861"/>
      <c r="EJ645" s="1861"/>
      <c r="EK645" s="1861"/>
      <c r="EL645" s="1861"/>
      <c r="EM645" s="1861" t="e">
        <f t="shared" si="26"/>
        <v>#VALUE!</v>
      </c>
      <c r="EN645" s="1861"/>
      <c r="EO645" s="1861"/>
      <c r="EP645" s="1861"/>
      <c r="EQ645" s="1861"/>
      <c r="ER645" s="1861" t="e">
        <f t="shared" si="27"/>
        <v>#VALUE!</v>
      </c>
      <c r="ES645" s="1861"/>
      <c r="ET645" s="1861"/>
      <c r="EU645" s="1861"/>
      <c r="EV645" s="1861"/>
      <c r="EW645" s="1861" t="e">
        <f t="shared" si="28"/>
        <v>#VALUE!</v>
      </c>
      <c r="EX645" s="1861"/>
      <c r="EY645" s="1861"/>
      <c r="EZ645" s="1861"/>
      <c r="FA645" s="1861"/>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61">
        <f>SUM(CS644:DV644)</f>
        <v>0</v>
      </c>
      <c r="DS646" s="1861"/>
      <c r="DT646" s="1861"/>
      <c r="DU646" s="1861"/>
      <c r="DV646" s="1861"/>
      <c r="DX646" s="1861" t="e">
        <f t="shared" si="23"/>
        <v>#VALUE!</v>
      </c>
      <c r="DY646" s="1861"/>
      <c r="DZ646" s="1861"/>
      <c r="EA646" s="1861"/>
      <c r="EB646" s="1861"/>
      <c r="EC646" s="1861" t="e">
        <f t="shared" si="24"/>
        <v>#VALUE!</v>
      </c>
      <c r="ED646" s="1861"/>
      <c r="EE646" s="1861"/>
      <c r="EF646" s="1861"/>
      <c r="EG646" s="1861"/>
      <c r="EH646" s="1861" t="e">
        <f t="shared" si="25"/>
        <v>#VALUE!</v>
      </c>
      <c r="EI646" s="1861"/>
      <c r="EJ646" s="1861"/>
      <c r="EK646" s="1861"/>
      <c r="EL646" s="1861"/>
      <c r="EM646" s="1861" t="e">
        <f t="shared" si="26"/>
        <v>#VALUE!</v>
      </c>
      <c r="EN646" s="1861"/>
      <c r="EO646" s="1861"/>
      <c r="EP646" s="1861"/>
      <c r="EQ646" s="1861"/>
      <c r="ER646" s="1861" t="e">
        <f t="shared" si="27"/>
        <v>#VALUE!</v>
      </c>
      <c r="ES646" s="1861"/>
      <c r="ET646" s="1861"/>
      <c r="EU646" s="1861"/>
      <c r="EV646" s="1861"/>
      <c r="EW646" s="1861" t="e">
        <f t="shared" si="28"/>
        <v>#VALUE!</v>
      </c>
      <c r="EX646" s="1861"/>
      <c r="EY646" s="1861"/>
      <c r="EZ646" s="1861"/>
      <c r="FA646" s="1861"/>
    </row>
    <row r="647" spans="1:157" ht="12.95" customHeight="1">
      <c r="A647" s="55" t="s">
        <v>120</v>
      </c>
      <c r="B647" t="s">
        <v>473</v>
      </c>
      <c r="G647" s="1518" t="str">
        <f>C625</f>
        <v>Deferred Developer Fee</v>
      </c>
      <c r="H647" s="1518"/>
      <c r="I647" s="1518"/>
      <c r="J647" s="1518"/>
      <c r="K647" s="1518"/>
      <c r="L647" s="1518"/>
      <c r="M647" s="1518"/>
      <c r="N647" s="1518"/>
      <c r="O647" s="1518"/>
      <c r="P647" s="1518"/>
      <c r="Q647" s="1518"/>
      <c r="R647" s="1518"/>
      <c r="T647" s="55" t="s">
        <v>591</v>
      </c>
      <c r="U647" t="s">
        <v>473</v>
      </c>
      <c r="Z647" s="1518">
        <f>C626</f>
        <v>0</v>
      </c>
      <c r="AA647" s="1518"/>
      <c r="AB647" s="1518"/>
      <c r="AC647" s="1518"/>
      <c r="AD647" s="1518"/>
      <c r="AE647" s="1518"/>
      <c r="AF647" s="1518"/>
      <c r="AG647" s="1518"/>
      <c r="AH647" s="1518"/>
      <c r="AI647" s="1518"/>
      <c r="AJ647" s="1518"/>
      <c r="AK647" s="1518"/>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61" t="e">
        <f t="shared" si="23"/>
        <v>#VALUE!</v>
      </c>
      <c r="DY647" s="1861"/>
      <c r="DZ647" s="1861"/>
      <c r="EA647" s="1861"/>
      <c r="EB647" s="1861"/>
      <c r="EC647" s="1861" t="e">
        <f t="shared" si="24"/>
        <v>#VALUE!</v>
      </c>
      <c r="ED647" s="1861"/>
      <c r="EE647" s="1861"/>
      <c r="EF647" s="1861"/>
      <c r="EG647" s="1861"/>
      <c r="EH647" s="1861" t="e">
        <f t="shared" si="25"/>
        <v>#VALUE!</v>
      </c>
      <c r="EI647" s="1861"/>
      <c r="EJ647" s="1861"/>
      <c r="EK647" s="1861"/>
      <c r="EL647" s="1861"/>
      <c r="EM647" s="1861" t="e">
        <f t="shared" si="26"/>
        <v>#VALUE!</v>
      </c>
      <c r="EN647" s="1861"/>
      <c r="EO647" s="1861"/>
      <c r="EP647" s="1861"/>
      <c r="EQ647" s="1861"/>
      <c r="ER647" s="1861" t="e">
        <f t="shared" si="27"/>
        <v>#VALUE!</v>
      </c>
      <c r="ES647" s="1861"/>
      <c r="ET647" s="1861"/>
      <c r="EU647" s="1861"/>
      <c r="EV647" s="1861"/>
      <c r="EW647" s="1861" t="e">
        <f t="shared" si="28"/>
        <v>#VALUE!</v>
      </c>
      <c r="EX647" s="1861"/>
      <c r="EY647" s="1861"/>
      <c r="EZ647" s="1861"/>
      <c r="FA647" s="1861"/>
    </row>
    <row r="648" spans="1:157" ht="12.95" customHeight="1">
      <c r="A648" s="22"/>
      <c r="B648" t="s">
        <v>86</v>
      </c>
      <c r="G648" s="1391" t="s">
        <v>2635</v>
      </c>
      <c r="H648" s="1391"/>
      <c r="I648" s="1391"/>
      <c r="J648" s="1391"/>
      <c r="K648" s="1391"/>
      <c r="L648" s="1391"/>
      <c r="M648" s="1391"/>
      <c r="N648" s="1391"/>
      <c r="O648" s="1391"/>
      <c r="P648" s="1391"/>
      <c r="Q648" s="1391"/>
      <c r="R648" s="1391"/>
      <c r="T648" s="22"/>
      <c r="U648" t="s">
        <v>86</v>
      </c>
      <c r="Z648" s="1391"/>
      <c r="AA648" s="1391"/>
      <c r="AB648" s="1391"/>
      <c r="AC648" s="1391"/>
      <c r="AD648" s="1391"/>
      <c r="AE648" s="1391"/>
      <c r="AF648" s="1391"/>
      <c r="AG648" s="1391"/>
      <c r="AH648" s="1391"/>
      <c r="AI648" s="1391"/>
      <c r="AJ648" s="1391"/>
      <c r="AK648" s="1391"/>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61" t="e">
        <f t="shared" si="23"/>
        <v>#VALUE!</v>
      </c>
      <c r="DY648" s="1861"/>
      <c r="DZ648" s="1861"/>
      <c r="EA648" s="1861"/>
      <c r="EB648" s="1861"/>
      <c r="EC648" s="1861" t="e">
        <f t="shared" si="24"/>
        <v>#VALUE!</v>
      </c>
      <c r="ED648" s="1861"/>
      <c r="EE648" s="1861"/>
      <c r="EF648" s="1861"/>
      <c r="EG648" s="1861"/>
      <c r="EH648" s="1861" t="e">
        <f t="shared" si="25"/>
        <v>#VALUE!</v>
      </c>
      <c r="EI648" s="1861"/>
      <c r="EJ648" s="1861"/>
      <c r="EK648" s="1861"/>
      <c r="EL648" s="1861"/>
      <c r="EM648" s="1861" t="e">
        <f t="shared" si="26"/>
        <v>#VALUE!</v>
      </c>
      <c r="EN648" s="1861"/>
      <c r="EO648" s="1861"/>
      <c r="EP648" s="1861"/>
      <c r="EQ648" s="1861"/>
      <c r="ER648" s="1861" t="e">
        <f t="shared" si="27"/>
        <v>#VALUE!</v>
      </c>
      <c r="ES648" s="1861"/>
      <c r="ET648" s="1861"/>
      <c r="EU648" s="1861"/>
      <c r="EV648" s="1861"/>
      <c r="EW648" s="1861" t="e">
        <f t="shared" si="28"/>
        <v>#VALUE!</v>
      </c>
      <c r="EX648" s="1861"/>
      <c r="EY648" s="1861"/>
      <c r="EZ648" s="1861"/>
      <c r="FA648" s="1861"/>
    </row>
    <row r="649" spans="1:157" ht="12.95" customHeight="1">
      <c r="A649" s="22"/>
      <c r="B649" t="s">
        <v>590</v>
      </c>
      <c r="G649" s="1374" t="s">
        <v>2662</v>
      </c>
      <c r="H649" s="1374"/>
      <c r="I649" s="1374"/>
      <c r="J649" s="1374"/>
      <c r="K649" s="1374"/>
      <c r="L649" s="1374"/>
      <c r="M649" s="1374"/>
      <c r="N649" s="1374"/>
      <c r="O649" s="1374"/>
      <c r="P649" s="1374"/>
      <c r="Q649" s="1374"/>
      <c r="R649" s="1374"/>
      <c r="T649" s="22"/>
      <c r="U649" t="s">
        <v>590</v>
      </c>
      <c r="Z649" s="1374"/>
      <c r="AA649" s="1374"/>
      <c r="AB649" s="1374"/>
      <c r="AC649" s="1374"/>
      <c r="AD649" s="1374"/>
      <c r="AE649" s="1374"/>
      <c r="AF649" s="1374"/>
      <c r="AG649" s="1374"/>
      <c r="AH649" s="1374"/>
      <c r="AI649" s="1374"/>
      <c r="AJ649" s="1374"/>
      <c r="AK649" s="1374"/>
      <c r="AZ649" s="34"/>
      <c r="BA649" s="34"/>
      <c r="BB649" s="34"/>
      <c r="BC649" s="34"/>
      <c r="BD649" s="34"/>
      <c r="BE649" s="34"/>
      <c r="BF649" s="34"/>
      <c r="BG649" s="34"/>
      <c r="BH649" s="34"/>
      <c r="BI649" s="34"/>
      <c r="BJ649" s="34"/>
      <c r="BK649" s="34"/>
      <c r="BL649" s="34"/>
      <c r="BM649" s="34"/>
      <c r="BN649" s="1705">
        <f>BN621+BN630+BN644</f>
        <v>0</v>
      </c>
      <c r="BO649" s="1706"/>
      <c r="BP649" s="1706"/>
      <c r="BQ649" s="1706"/>
      <c r="BR649" s="1707"/>
      <c r="BS649" s="1705">
        <f>BS621+BS630+BS644</f>
        <v>40</v>
      </c>
      <c r="BT649" s="1706"/>
      <c r="BU649" s="1706"/>
      <c r="BV649" s="1706"/>
      <c r="BW649" s="1707"/>
      <c r="BX649" s="1705">
        <f>BX621+BX630+BX644</f>
        <v>78</v>
      </c>
      <c r="BY649" s="1706"/>
      <c r="BZ649" s="1706"/>
      <c r="CA649" s="1706"/>
      <c r="CB649" s="1707"/>
      <c r="CC649" s="1705">
        <f>CC621+CC630+CC644</f>
        <v>78</v>
      </c>
      <c r="CD649" s="1706"/>
      <c r="CE649" s="1706"/>
      <c r="CF649" s="1706"/>
      <c r="CG649" s="1707"/>
      <c r="CH649" s="1705">
        <f>CH621+CH630+CH644</f>
        <v>0</v>
      </c>
      <c r="CI649" s="1706"/>
      <c r="CJ649" s="1706"/>
      <c r="CK649" s="1706"/>
      <c r="CL649" s="1707"/>
      <c r="CM649" s="1416">
        <f>CM644+CM630+CM621</f>
        <v>0</v>
      </c>
      <c r="CN649" s="1857"/>
      <c r="CO649" s="1857"/>
      <c r="CP649" s="1857"/>
      <c r="CQ649" s="1417"/>
      <c r="CR649" s="3"/>
      <c r="CS649" s="897">
        <f>CS623+CS647</f>
        <v>428</v>
      </c>
      <c r="CT649" s="57" t="s">
        <v>2128</v>
      </c>
      <c r="CU649" s="3"/>
      <c r="CV649" s="3"/>
      <c r="CW649" s="3"/>
      <c r="CX649" s="3"/>
      <c r="CY649" s="3"/>
      <c r="CZ649" s="3"/>
      <c r="DA649" s="3"/>
      <c r="DB649" s="3"/>
      <c r="DC649" s="3"/>
      <c r="DD649" s="3"/>
      <c r="DE649" s="3"/>
      <c r="DF649" s="3"/>
      <c r="DX649" s="1861">
        <f>SUMIF(DX624:EB648,"&gt;0")</f>
        <v>0</v>
      </c>
      <c r="DY649" s="1861"/>
      <c r="DZ649" s="1861"/>
      <c r="EA649" s="1861"/>
      <c r="EB649" s="1861"/>
      <c r="EC649" s="1861">
        <f>SUMIF(EC624:EG648,"&gt;0")</f>
        <v>1153.0250000000001</v>
      </c>
      <c r="ED649" s="1861"/>
      <c r="EE649" s="1861"/>
      <c r="EF649" s="1861"/>
      <c r="EG649" s="1861"/>
      <c r="EH649" s="1861">
        <f>SUMIF(EH624:EL648,"&gt;0")</f>
        <v>1405.4805194805194</v>
      </c>
      <c r="EI649" s="1861"/>
      <c r="EJ649" s="1861"/>
      <c r="EK649" s="1861"/>
      <c r="EL649" s="1861"/>
      <c r="EM649" s="1861">
        <f>SUMIF(EM624:EQ648,"&gt;0")</f>
        <v>1605.0897435897436</v>
      </c>
      <c r="EN649" s="1861"/>
      <c r="EO649" s="1861"/>
      <c r="EP649" s="1861"/>
      <c r="EQ649" s="1861"/>
      <c r="ER649" s="1861">
        <f>SUMIF(ER624:EV648,"&gt;0")</f>
        <v>0</v>
      </c>
      <c r="ES649" s="1861"/>
      <c r="ET649" s="1861"/>
      <c r="EU649" s="1861"/>
      <c r="EV649" s="1861"/>
      <c r="EW649" s="1861">
        <f>SUMIF(EW624:FA648,"&gt;0")</f>
        <v>0</v>
      </c>
      <c r="EX649" s="1861"/>
      <c r="EY649" s="1861"/>
      <c r="EZ649" s="1861"/>
      <c r="FA649" s="1861"/>
    </row>
    <row r="650" spans="1:157" ht="12.95" customHeight="1">
      <c r="A650" s="22"/>
      <c r="B650" t="s">
        <v>17</v>
      </c>
      <c r="G650" s="1374" t="s">
        <v>2645</v>
      </c>
      <c r="H650" s="1374"/>
      <c r="I650" s="1374"/>
      <c r="J650" s="1374"/>
      <c r="K650" s="1374"/>
      <c r="L650" s="1374"/>
      <c r="M650" s="1374"/>
      <c r="N650" s="1374"/>
      <c r="O650" s="1374"/>
      <c r="P650" s="1374"/>
      <c r="Q650" s="1374"/>
      <c r="R650" s="1374"/>
      <c r="T650" s="22"/>
      <c r="U650" t="s">
        <v>17</v>
      </c>
      <c r="Z650" s="1374"/>
      <c r="AA650" s="1374"/>
      <c r="AB650" s="1374"/>
      <c r="AC650" s="1374"/>
      <c r="AD650" s="1374"/>
      <c r="AE650" s="1374"/>
      <c r="AF650" s="1374"/>
      <c r="AG650" s="1374"/>
      <c r="AH650" s="1374"/>
      <c r="AI650" s="1374"/>
      <c r="AJ650" s="1374"/>
      <c r="AK650" s="1374"/>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63" t="s">
        <v>2646</v>
      </c>
      <c r="H651" s="1463"/>
      <c r="I651" s="1463"/>
      <c r="J651" s="1463"/>
      <c r="K651" s="1463"/>
      <c r="L651" s="1463"/>
      <c r="O651" s="1073" t="s">
        <v>208</v>
      </c>
      <c r="P651" s="1390"/>
      <c r="Q651" s="1390"/>
      <c r="R651" s="1390"/>
      <c r="T651" s="22"/>
      <c r="U651" t="s">
        <v>318</v>
      </c>
      <c r="Z651" s="1439"/>
      <c r="AA651" s="1439"/>
      <c r="AB651" s="1439"/>
      <c r="AC651" s="1439"/>
      <c r="AD651" s="1439"/>
      <c r="AE651" s="1439"/>
      <c r="AH651" s="33" t="s">
        <v>208</v>
      </c>
      <c r="AI651" s="1422"/>
      <c r="AJ651" s="1422"/>
      <c r="AK651" s="142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1" t="s">
        <v>1923</v>
      </c>
      <c r="I652" s="1391"/>
      <c r="J652" s="1391"/>
      <c r="K652" s="1391"/>
      <c r="L652" s="1391"/>
      <c r="M652" s="1391"/>
      <c r="N652" s="1391"/>
      <c r="O652" s="1391"/>
      <c r="P652" s="1391"/>
      <c r="Q652" s="1391"/>
      <c r="R652" s="1391"/>
      <c r="T652" s="22"/>
      <c r="U652" t="s">
        <v>18</v>
      </c>
      <c r="AA652" s="1391"/>
      <c r="AB652" s="1391"/>
      <c r="AC652" s="1391"/>
      <c r="AD652" s="1391"/>
      <c r="AE652" s="1391"/>
      <c r="AF652" s="1391"/>
      <c r="AG652" s="1391"/>
      <c r="AH652" s="1391"/>
      <c r="AI652" s="1391"/>
      <c r="AJ652" s="1391"/>
      <c r="AK652" s="1391"/>
      <c r="AZ652" s="3"/>
      <c r="BA652" s="3"/>
      <c r="BB652" s="3"/>
      <c r="BC652" s="3"/>
      <c r="BD652" s="3"/>
      <c r="BE652" s="3"/>
      <c r="BF652" s="3"/>
      <c r="BG652" s="3"/>
      <c r="BH652" s="3"/>
      <c r="BI652" s="3"/>
      <c r="BJ652" s="3"/>
      <c r="BK652" s="3"/>
      <c r="BL652" s="3"/>
      <c r="BM652" s="3"/>
      <c r="BN652" s="3"/>
      <c r="BO652" s="3"/>
      <c r="BP652" s="207" t="s">
        <v>2309</v>
      </c>
      <c r="BQ652" s="208"/>
      <c r="BR652" s="208"/>
      <c r="BS652" s="208"/>
      <c r="BT652" s="208"/>
      <c r="BU652" s="208"/>
      <c r="BV652" s="208"/>
      <c r="BW652" s="3"/>
      <c r="BX652" s="207" t="s">
        <v>2312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8" t="s">
        <v>555</v>
      </c>
      <c r="O653" s="1378"/>
      <c r="T653" s="22"/>
      <c r="U653" t="s">
        <v>20</v>
      </c>
      <c r="AG653" s="1378" t="s">
        <v>679</v>
      </c>
      <c r="AH653" s="1378"/>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2313</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8">
        <f>C627</f>
        <v>0</v>
      </c>
      <c r="H655" s="1518"/>
      <c r="I655" s="1518"/>
      <c r="J655" s="1518"/>
      <c r="K655" s="1518"/>
      <c r="L655" s="1518"/>
      <c r="M655" s="1518"/>
      <c r="N655" s="1518"/>
      <c r="O655" s="1518"/>
      <c r="P655" s="1518"/>
      <c r="Q655" s="1518"/>
      <c r="R655" s="1518"/>
      <c r="T655" s="55" t="s">
        <v>594</v>
      </c>
      <c r="U655" t="s">
        <v>473</v>
      </c>
      <c r="Z655" s="1518">
        <f>C628</f>
        <v>0</v>
      </c>
      <c r="AA655" s="1518"/>
      <c r="AB655" s="1518"/>
      <c r="AC655" s="1518"/>
      <c r="AD655" s="1518"/>
      <c r="AE655" s="1518"/>
      <c r="AF655" s="1518"/>
      <c r="AG655" s="1518"/>
      <c r="AH655" s="1518"/>
      <c r="AI655" s="1518"/>
      <c r="AJ655" s="1518"/>
      <c r="AK655" s="1518"/>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1"/>
      <c r="H656" s="1391"/>
      <c r="I656" s="1391"/>
      <c r="J656" s="1391"/>
      <c r="K656" s="1391"/>
      <c r="L656" s="1391"/>
      <c r="M656" s="1391"/>
      <c r="N656" s="1391"/>
      <c r="O656" s="1391"/>
      <c r="P656" s="1391"/>
      <c r="Q656" s="1391"/>
      <c r="R656" s="1391"/>
      <c r="T656" s="22"/>
      <c r="U656" t="s">
        <v>86</v>
      </c>
      <c r="Z656" s="1391"/>
      <c r="AA656" s="1391"/>
      <c r="AB656" s="1391"/>
      <c r="AC656" s="1391"/>
      <c r="AD656" s="1391"/>
      <c r="AE656" s="1391"/>
      <c r="AF656" s="1391"/>
      <c r="AG656" s="1391"/>
      <c r="AH656" s="1391"/>
      <c r="AI656" s="1391"/>
      <c r="AJ656" s="1391"/>
      <c r="AK656" s="1391"/>
      <c r="AZ656" s="3"/>
      <c r="BA656" s="118">
        <f t="shared" ref="BA656:BA680" si="42">IF($G714=0,"N/A",VLOOKUP($T$189,TC_Rent,(MATCH($B714,bedrooms,FALSE))))</f>
        <v>2232</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1"/>
      <c r="H657" s="1391"/>
      <c r="I657" s="1391"/>
      <c r="J657" s="1391"/>
      <c r="K657" s="1391"/>
      <c r="L657" s="1391"/>
      <c r="M657" s="1391"/>
      <c r="N657" s="1391"/>
      <c r="O657" s="1391"/>
      <c r="P657" s="1391"/>
      <c r="Q657" s="1391"/>
      <c r="R657" s="1391"/>
      <c r="T657" s="22"/>
      <c r="U657" t="s">
        <v>590</v>
      </c>
      <c r="Z657" s="1374"/>
      <c r="AA657" s="1374"/>
      <c r="AB657" s="1374"/>
      <c r="AC657" s="1374"/>
      <c r="AD657" s="1374"/>
      <c r="AE657" s="1374"/>
      <c r="AF657" s="1374"/>
      <c r="AG657" s="1374"/>
      <c r="AH657" s="1374"/>
      <c r="AI657" s="1374"/>
      <c r="AJ657" s="1374"/>
      <c r="AK657" s="1374"/>
      <c r="AZ657" s="3"/>
      <c r="BA657" s="118">
        <f t="shared" si="42"/>
        <v>2232</v>
      </c>
      <c r="BB657" s="3"/>
      <c r="BC657" s="3"/>
      <c r="BD657" s="3"/>
      <c r="BE657" s="3"/>
      <c r="BF657" s="218"/>
      <c r="BG657" s="315">
        <f t="shared" ref="BG657:BG681" si="43">G714</f>
        <v>6</v>
      </c>
      <c r="BH657" s="319">
        <f>BG657/$BG$682</f>
        <v>3.0769230769230771E-2</v>
      </c>
      <c r="BI657" s="320">
        <f t="shared" ref="BI657:BI681" si="44">IF(BH657=0," ",BH657*AC714)</f>
        <v>9.2307692307692316E-3</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1"/>
      <c r="H658" s="1391"/>
      <c r="I658" s="1391"/>
      <c r="J658" s="1391"/>
      <c r="K658" s="1391"/>
      <c r="L658" s="1391"/>
      <c r="M658" s="1391"/>
      <c r="N658" s="1391"/>
      <c r="O658" s="1391"/>
      <c r="P658" s="1391"/>
      <c r="Q658" s="1391"/>
      <c r="R658" s="1391"/>
      <c r="T658" s="22"/>
      <c r="U658" t="s">
        <v>17</v>
      </c>
      <c r="Z658" s="1374"/>
      <c r="AA658" s="1374"/>
      <c r="AB658" s="1374"/>
      <c r="AC658" s="1374"/>
      <c r="AD658" s="1374"/>
      <c r="AE658" s="1374"/>
      <c r="AF658" s="1374"/>
      <c r="AG658" s="1374"/>
      <c r="AH658" s="1374"/>
      <c r="AI658" s="1374"/>
      <c r="AJ658" s="1374"/>
      <c r="AK658" s="1374"/>
      <c r="AZ658" s="3"/>
      <c r="BA658" s="118">
        <f t="shared" si="42"/>
        <v>2232</v>
      </c>
      <c r="BB658" s="3"/>
      <c r="BC658" s="3"/>
      <c r="BD658" s="3"/>
      <c r="BE658" s="3"/>
      <c r="BF658" s="218"/>
      <c r="BG658" s="316">
        <f t="shared" si="43"/>
        <v>4</v>
      </c>
      <c r="BH658" s="319">
        <f t="shared" ref="BH658:BH681" si="45">BG658/$BG$682</f>
        <v>2.0512820512820513E-2</v>
      </c>
      <c r="BI658" s="320">
        <f t="shared" si="44"/>
        <v>1.0256410256410256E-2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9"/>
      <c r="H659" s="1439"/>
      <c r="I659" s="1439"/>
      <c r="J659" s="1439"/>
      <c r="K659" s="1439"/>
      <c r="L659" s="1439"/>
      <c r="O659" s="33" t="s">
        <v>208</v>
      </c>
      <c r="P659" s="1422"/>
      <c r="Q659" s="1422"/>
      <c r="R659" s="1422"/>
      <c r="T659" s="22"/>
      <c r="U659" t="s">
        <v>318</v>
      </c>
      <c r="Z659" s="1439"/>
      <c r="AA659" s="1439"/>
      <c r="AB659" s="1439"/>
      <c r="AC659" s="1439"/>
      <c r="AD659" s="1439"/>
      <c r="AE659" s="1439"/>
      <c r="AH659" s="33" t="s">
        <v>208</v>
      </c>
      <c r="AI659" s="1422"/>
      <c r="AJ659" s="1422"/>
      <c r="AK659" s="1422"/>
      <c r="AZ659" s="3"/>
      <c r="BA659" s="118">
        <f t="shared" si="42"/>
        <v>2232</v>
      </c>
      <c r="BB659" s="3"/>
      <c r="BC659" s="3"/>
      <c r="BD659" s="3"/>
      <c r="BE659" s="3"/>
      <c r="BF659" s="218"/>
      <c r="BG659" s="316">
        <f t="shared" si="43"/>
        <v>11</v>
      </c>
      <c r="BH659" s="319">
        <f t="shared" si="45"/>
        <v>5.6410256410256411E-2</v>
      </c>
      <c r="BI659" s="320">
        <f t="shared" si="44"/>
        <v>3.3846153846153845E-2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1"/>
      <c r="I660" s="1391"/>
      <c r="J660" s="1391"/>
      <c r="K660" s="1391"/>
      <c r="L660" s="1391"/>
      <c r="M660" s="1391"/>
      <c r="N660" s="1391"/>
      <c r="O660" s="1391"/>
      <c r="P660" s="1391"/>
      <c r="Q660" s="1391"/>
      <c r="R660" s="1391"/>
      <c r="T660" s="22"/>
      <c r="U660" t="s">
        <v>18</v>
      </c>
      <c r="AA660" s="1391"/>
      <c r="AB660" s="1391"/>
      <c r="AC660" s="1391"/>
      <c r="AD660" s="1391"/>
      <c r="AE660" s="1391"/>
      <c r="AF660" s="1391"/>
      <c r="AG660" s="1391"/>
      <c r="AH660" s="1391"/>
      <c r="AI660" s="1391"/>
      <c r="AJ660" s="1391"/>
      <c r="AK660" s="1391"/>
      <c r="AZ660" s="3"/>
      <c r="BA660" s="118" t="str">
        <f t="shared" si="42"/>
        <v>N/A</v>
      </c>
      <c r="BB660" s="3"/>
      <c r="BC660" s="3"/>
      <c r="BD660" s="3"/>
      <c r="BE660" s="3"/>
      <c r="BF660" s="218"/>
      <c r="BG660" s="316">
        <f t="shared" si="43"/>
        <v>19</v>
      </c>
      <c r="BH660" s="319">
        <f t="shared" si="45"/>
        <v>9.7435897435897437E-2</v>
      </c>
      <c r="BI660" s="320">
        <f t="shared" si="44"/>
        <v>6.8205128205128196E-2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8" t="s">
        <v>679</v>
      </c>
      <c r="O661" s="1378"/>
      <c r="T661" s="22"/>
      <c r="U661" t="s">
        <v>20</v>
      </c>
      <c r="AG661" s="1378" t="s">
        <v>679</v>
      </c>
      <c r="AH661" s="1378"/>
      <c r="AZ661" s="3"/>
      <c r="BA661" s="118">
        <f t="shared" si="42"/>
        <v>2680</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2680</v>
      </c>
      <c r="BB662" s="3"/>
      <c r="BC662" s="3"/>
      <c r="BD662" s="3"/>
      <c r="BE662" s="3"/>
      <c r="BF662" s="218"/>
      <c r="BG662" s="316">
        <f t="shared" si="43"/>
        <v>7</v>
      </c>
      <c r="BH662" s="319">
        <f t="shared" si="45"/>
        <v>3.5897435897435895E-2</v>
      </c>
      <c r="BI662" s="320">
        <f t="shared" si="44"/>
        <v>1.0769230769230769E-2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8">
        <f>C629</f>
        <v>0</v>
      </c>
      <c r="H663" s="1518"/>
      <c r="I663" s="1518"/>
      <c r="J663" s="1518"/>
      <c r="K663" s="1518"/>
      <c r="L663" s="1518"/>
      <c r="M663" s="1518"/>
      <c r="N663" s="1518"/>
      <c r="O663" s="1518"/>
      <c r="P663" s="1518"/>
      <c r="Q663" s="1518"/>
      <c r="R663" s="1518"/>
      <c r="T663" s="55" t="s">
        <v>466</v>
      </c>
      <c r="U663" t="s">
        <v>473</v>
      </c>
      <c r="Z663" s="1518">
        <f>C630</f>
        <v>0</v>
      </c>
      <c r="AA663" s="1518"/>
      <c r="AB663" s="1518"/>
      <c r="AC663" s="1518"/>
      <c r="AD663" s="1518"/>
      <c r="AE663" s="1518"/>
      <c r="AF663" s="1518"/>
      <c r="AG663" s="1518"/>
      <c r="AH663" s="1518"/>
      <c r="AI663" s="1518"/>
      <c r="AJ663" s="1518"/>
      <c r="AK663" s="1518"/>
      <c r="AZ663" s="3"/>
      <c r="BA663" s="118">
        <f t="shared" si="42"/>
        <v>2680</v>
      </c>
      <c r="BB663" s="3"/>
      <c r="BC663" s="3"/>
      <c r="BD663" s="3"/>
      <c r="BE663" s="3"/>
      <c r="BF663" s="218"/>
      <c r="BG663" s="316">
        <f t="shared" si="43"/>
        <v>12</v>
      </c>
      <c r="BH663" s="319">
        <f t="shared" si="45"/>
        <v>6.1538461538461542E-2</v>
      </c>
      <c r="BI663" s="320">
        <f t="shared" si="44"/>
        <v>3.0769230769230771E-2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1"/>
      <c r="H664" s="1391"/>
      <c r="I664" s="1391"/>
      <c r="J664" s="1391"/>
      <c r="K664" s="1391"/>
      <c r="L664" s="1391"/>
      <c r="M664" s="1391"/>
      <c r="N664" s="1391"/>
      <c r="O664" s="1391"/>
      <c r="P664" s="1391"/>
      <c r="Q664" s="1391"/>
      <c r="R664" s="1391"/>
      <c r="T664" s="22"/>
      <c r="U664" t="s">
        <v>86</v>
      </c>
      <c r="Z664" s="1391"/>
      <c r="AA664" s="1391"/>
      <c r="AB664" s="1391"/>
      <c r="AC664" s="1391"/>
      <c r="AD664" s="1391"/>
      <c r="AE664" s="1391"/>
      <c r="AF664" s="1391"/>
      <c r="AG664" s="1391"/>
      <c r="AH664" s="1391"/>
      <c r="AI664" s="1391"/>
      <c r="AJ664" s="1391"/>
      <c r="AK664" s="1391"/>
      <c r="AZ664" s="3"/>
      <c r="BA664" s="118">
        <f t="shared" si="42"/>
        <v>2680</v>
      </c>
      <c r="BB664" s="3"/>
      <c r="BC664" s="3"/>
      <c r="BD664" s="3"/>
      <c r="BE664" s="3"/>
      <c r="BF664" s="218"/>
      <c r="BG664" s="316">
        <f t="shared" si="43"/>
        <v>24</v>
      </c>
      <c r="BH664" s="319">
        <f t="shared" si="45"/>
        <v>0.12307692307692308</v>
      </c>
      <c r="BI664" s="320">
        <f t="shared" si="44"/>
        <v>7.3846153846153853E-2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1"/>
      <c r="H665" s="1391"/>
      <c r="I665" s="1391"/>
      <c r="J665" s="1391"/>
      <c r="K665" s="1391"/>
      <c r="L665" s="1391"/>
      <c r="M665" s="1391"/>
      <c r="N665" s="1391"/>
      <c r="O665" s="1391"/>
      <c r="P665" s="1391"/>
      <c r="Q665" s="1391"/>
      <c r="R665" s="1391"/>
      <c r="T665" s="22"/>
      <c r="U665" t="s">
        <v>590</v>
      </c>
      <c r="Z665" s="1374"/>
      <c r="AA665" s="1374"/>
      <c r="AB665" s="1374"/>
      <c r="AC665" s="1374"/>
      <c r="AD665" s="1374"/>
      <c r="AE665" s="1374"/>
      <c r="AF665" s="1374"/>
      <c r="AG665" s="1374"/>
      <c r="AH665" s="1374"/>
      <c r="AI665" s="1374"/>
      <c r="AJ665" s="1374"/>
      <c r="AK665" s="1374"/>
      <c r="AZ665" s="3"/>
      <c r="BA665" s="118" t="str">
        <f t="shared" si="42"/>
        <v>N/A</v>
      </c>
      <c r="BB665" s="3"/>
      <c r="BC665" s="3"/>
      <c r="BD665" s="3"/>
      <c r="BE665" s="3"/>
      <c r="BF665" s="218"/>
      <c r="BG665" s="316">
        <f t="shared" si="43"/>
        <v>34</v>
      </c>
      <c r="BH665" s="319">
        <f t="shared" si="45"/>
        <v>0.17435897435897435</v>
      </c>
      <c r="BI665" s="320">
        <f t="shared" si="44"/>
        <v>0.12205128205128203</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1"/>
      <c r="H666" s="1391"/>
      <c r="I666" s="1391"/>
      <c r="J666" s="1391"/>
      <c r="K666" s="1391"/>
      <c r="L666" s="1391"/>
      <c r="M666" s="1391"/>
      <c r="N666" s="1391"/>
      <c r="O666" s="1391"/>
      <c r="P666" s="1391"/>
      <c r="Q666" s="1391"/>
      <c r="R666" s="1391"/>
      <c r="T666" s="22"/>
      <c r="U666" t="s">
        <v>17</v>
      </c>
      <c r="Z666" s="1374"/>
      <c r="AA666" s="1374"/>
      <c r="AB666" s="1374"/>
      <c r="AC666" s="1374"/>
      <c r="AD666" s="1374"/>
      <c r="AE666" s="1374"/>
      <c r="AF666" s="1374"/>
      <c r="AG666" s="1374"/>
      <c r="AH666" s="1374"/>
      <c r="AI666" s="1374"/>
      <c r="AJ666" s="1374"/>
      <c r="AK666" s="1374"/>
      <c r="AZ666" s="3"/>
      <c r="BA666" s="118">
        <f t="shared" si="42"/>
        <v>3096</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9"/>
      <c r="H667" s="1439"/>
      <c r="I667" s="1439"/>
      <c r="J667" s="1439"/>
      <c r="K667" s="1439"/>
      <c r="L667" s="1439"/>
      <c r="O667" s="33" t="s">
        <v>208</v>
      </c>
      <c r="P667" s="1422"/>
      <c r="Q667" s="1422"/>
      <c r="R667" s="1422"/>
      <c r="T667" s="22"/>
      <c r="U667" t="s">
        <v>318</v>
      </c>
      <c r="Z667" s="1439"/>
      <c r="AA667" s="1439"/>
      <c r="AB667" s="1439"/>
      <c r="AC667" s="1439"/>
      <c r="AD667" s="1439"/>
      <c r="AE667" s="1439"/>
      <c r="AH667" s="33" t="s">
        <v>208</v>
      </c>
      <c r="AI667" s="1422"/>
      <c r="AJ667" s="1422"/>
      <c r="AK667" s="1422"/>
      <c r="AZ667" s="3"/>
      <c r="BA667" s="118">
        <f t="shared" si="42"/>
        <v>3096</v>
      </c>
      <c r="BB667" s="3"/>
      <c r="BC667" s="3"/>
      <c r="BD667" s="3"/>
      <c r="BE667" s="3"/>
      <c r="BF667" s="218"/>
      <c r="BG667" s="316">
        <f t="shared" si="43"/>
        <v>7</v>
      </c>
      <c r="BH667" s="319">
        <f t="shared" si="45"/>
        <v>3.5897435897435895E-2</v>
      </c>
      <c r="BI667" s="320">
        <f t="shared" si="44"/>
        <v>1.0769230769230769E-2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1"/>
      <c r="I668" s="1391"/>
      <c r="J668" s="1391"/>
      <c r="K668" s="1391"/>
      <c r="L668" s="1391"/>
      <c r="M668" s="1391"/>
      <c r="N668" s="1391"/>
      <c r="O668" s="1391"/>
      <c r="P668" s="1391"/>
      <c r="Q668" s="1391"/>
      <c r="R668" s="1391"/>
      <c r="T668" s="22"/>
      <c r="U668" t="s">
        <v>18</v>
      </c>
      <c r="AA668" s="1391"/>
      <c r="AB668" s="1391"/>
      <c r="AC668" s="1391"/>
      <c r="AD668" s="1391"/>
      <c r="AE668" s="1391"/>
      <c r="AF668" s="1391"/>
      <c r="AG668" s="1391"/>
      <c r="AH668" s="1391"/>
      <c r="AI668" s="1391"/>
      <c r="AJ668" s="1391"/>
      <c r="AK668" s="1391"/>
      <c r="AZ668" s="3"/>
      <c r="BA668" s="118">
        <f t="shared" si="42"/>
        <v>3096</v>
      </c>
      <c r="BB668" s="3"/>
      <c r="BC668" s="3"/>
      <c r="BD668" s="3"/>
      <c r="BE668" s="3"/>
      <c r="BF668" s="218"/>
      <c r="BG668" s="316">
        <f t="shared" si="43"/>
        <v>13</v>
      </c>
      <c r="BH668" s="319">
        <f t="shared" si="45"/>
        <v>6.6666666666666666E-2</v>
      </c>
      <c r="BI668" s="320">
        <f t="shared" si="44"/>
        <v>3.3333333333333333E-2</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8" t="s">
        <v>679</v>
      </c>
      <c r="O669" s="1378"/>
      <c r="T669" s="22"/>
      <c r="U669" t="s">
        <v>20</v>
      </c>
      <c r="AG669" s="1378" t="s">
        <v>679</v>
      </c>
      <c r="AH669" s="1378"/>
      <c r="AZ669" s="3"/>
      <c r="BA669" s="118">
        <f t="shared" si="42"/>
        <v>3096</v>
      </c>
      <c r="BB669" s="3"/>
      <c r="BC669" s="3"/>
      <c r="BD669" s="3"/>
      <c r="BE669" s="3"/>
      <c r="BF669" s="218"/>
      <c r="BG669" s="316">
        <f t="shared" si="43"/>
        <v>24</v>
      </c>
      <c r="BH669" s="319">
        <f t="shared" si="45"/>
        <v>0.12307692307692308</v>
      </c>
      <c r="BI669" s="320">
        <f t="shared" si="44"/>
        <v>7.3846153846153853E-2</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34</v>
      </c>
      <c r="BH670" s="319">
        <f t="shared" si="45"/>
        <v>0.17435897435897435</v>
      </c>
      <c r="BI670" s="320">
        <f t="shared" si="44"/>
        <v>0.12205128205128203</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8">
        <f>C631</f>
        <v>0</v>
      </c>
      <c r="H671" s="1518"/>
      <c r="I671" s="1518"/>
      <c r="J671" s="1518"/>
      <c r="K671" s="1518"/>
      <c r="L671" s="1518"/>
      <c r="M671" s="1518"/>
      <c r="N671" s="1518"/>
      <c r="O671" s="1518"/>
      <c r="P671" s="1518"/>
      <c r="Q671" s="1518"/>
      <c r="R671" s="1518"/>
      <c r="T671" s="55" t="s">
        <v>656</v>
      </c>
      <c r="U671" t="s">
        <v>473</v>
      </c>
      <c r="Z671" s="1518">
        <f>C632</f>
        <v>0</v>
      </c>
      <c r="AA671" s="1518"/>
      <c r="AB671" s="1518"/>
      <c r="AC671" s="1518"/>
      <c r="AD671" s="1518"/>
      <c r="AE671" s="1518"/>
      <c r="AF671" s="1518"/>
      <c r="AG671" s="1518"/>
      <c r="AH671" s="1518"/>
      <c r="AI671" s="1518"/>
      <c r="AJ671" s="1518"/>
      <c r="AK671" s="1518"/>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1"/>
      <c r="H672" s="1391"/>
      <c r="I672" s="1391"/>
      <c r="J672" s="1391"/>
      <c r="K672" s="1391"/>
      <c r="L672" s="1391"/>
      <c r="M672" s="1391"/>
      <c r="N672" s="1391"/>
      <c r="O672" s="1391"/>
      <c r="P672" s="1391"/>
      <c r="Q672" s="1391"/>
      <c r="R672" s="1391"/>
      <c r="T672" s="22"/>
      <c r="U672" t="s">
        <v>86</v>
      </c>
      <c r="Z672" s="1391"/>
      <c r="AA672" s="1391"/>
      <c r="AB672" s="1391"/>
      <c r="AC672" s="1391"/>
      <c r="AD672" s="1391"/>
      <c r="AE672" s="1391"/>
      <c r="AF672" s="1391"/>
      <c r="AG672" s="1391"/>
      <c r="AH672" s="1391"/>
      <c r="AI672" s="1391"/>
      <c r="AJ672" s="1391"/>
      <c r="AK672" s="1391"/>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1"/>
      <c r="H673" s="1391"/>
      <c r="I673" s="1391"/>
      <c r="J673" s="1391"/>
      <c r="K673" s="1391"/>
      <c r="L673" s="1391"/>
      <c r="M673" s="1391"/>
      <c r="N673" s="1391"/>
      <c r="O673" s="1391"/>
      <c r="P673" s="1391"/>
      <c r="Q673" s="1391"/>
      <c r="R673" s="1391"/>
      <c r="T673" s="22"/>
      <c r="U673" t="s">
        <v>590</v>
      </c>
      <c r="Z673" s="1374"/>
      <c r="AA673" s="1374"/>
      <c r="AB673" s="1374"/>
      <c r="AC673" s="1374"/>
      <c r="AD673" s="1374"/>
      <c r="AE673" s="1374"/>
      <c r="AF673" s="1374"/>
      <c r="AG673" s="1374"/>
      <c r="AH673" s="1374"/>
      <c r="AI673" s="1374"/>
      <c r="AJ673" s="1374"/>
      <c r="AK673" s="1374"/>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1"/>
      <c r="H674" s="1391"/>
      <c r="I674" s="1391"/>
      <c r="J674" s="1391"/>
      <c r="K674" s="1391"/>
      <c r="L674" s="1391"/>
      <c r="M674" s="1391"/>
      <c r="N674" s="1391"/>
      <c r="O674" s="1391"/>
      <c r="P674" s="1391"/>
      <c r="Q674" s="1391"/>
      <c r="R674" s="1391"/>
      <c r="T674" s="22"/>
      <c r="U674" t="s">
        <v>17</v>
      </c>
      <c r="Z674" s="1374"/>
      <c r="AA674" s="1374"/>
      <c r="AB674" s="1374"/>
      <c r="AC674" s="1374"/>
      <c r="AD674" s="1374"/>
      <c r="AE674" s="1374"/>
      <c r="AF674" s="1374"/>
      <c r="AG674" s="1374"/>
      <c r="AH674" s="1374"/>
      <c r="AI674" s="1374"/>
      <c r="AJ674" s="1374"/>
      <c r="AK674" s="1374"/>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9"/>
      <c r="H675" s="1439"/>
      <c r="I675" s="1439"/>
      <c r="J675" s="1439"/>
      <c r="K675" s="1439"/>
      <c r="L675" s="1439"/>
      <c r="O675" s="33" t="s">
        <v>208</v>
      </c>
      <c r="P675" s="1422"/>
      <c r="Q675" s="1422"/>
      <c r="R675" s="1422"/>
      <c r="T675" s="22"/>
      <c r="U675" t="s">
        <v>318</v>
      </c>
      <c r="Z675" s="1439"/>
      <c r="AA675" s="1439"/>
      <c r="AB675" s="1439"/>
      <c r="AC675" s="1439"/>
      <c r="AD675" s="1439"/>
      <c r="AE675" s="1439"/>
      <c r="AH675" s="33" t="s">
        <v>208</v>
      </c>
      <c r="AI675" s="1422"/>
      <c r="AJ675" s="1422"/>
      <c r="AK675" s="142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1"/>
      <c r="I676" s="1391"/>
      <c r="J676" s="1391"/>
      <c r="K676" s="1391"/>
      <c r="L676" s="1391"/>
      <c r="M676" s="1391"/>
      <c r="N676" s="1391"/>
      <c r="O676" s="1391"/>
      <c r="P676" s="1391"/>
      <c r="Q676" s="1391"/>
      <c r="R676" s="1391"/>
      <c r="T676" s="22"/>
      <c r="U676" t="s">
        <v>18</v>
      </c>
      <c r="AA676" s="1391"/>
      <c r="AB676" s="1391"/>
      <c r="AC676" s="1391"/>
      <c r="AD676" s="1391"/>
      <c r="AE676" s="1391"/>
      <c r="AF676" s="1391"/>
      <c r="AG676" s="1391"/>
      <c r="AH676" s="1391"/>
      <c r="AI676" s="1391"/>
      <c r="AJ676" s="1391"/>
      <c r="AK676" s="1391"/>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8" t="s">
        <v>679</v>
      </c>
      <c r="O677" s="1378"/>
      <c r="T677" s="22"/>
      <c r="U677" t="s">
        <v>20</v>
      </c>
      <c r="AG677" s="1378" t="s">
        <v>679</v>
      </c>
      <c r="AH677" s="1378"/>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8">
        <f>C633</f>
        <v>0</v>
      </c>
      <c r="H679" s="1518"/>
      <c r="I679" s="1518"/>
      <c r="J679" s="1518"/>
      <c r="K679" s="1518"/>
      <c r="L679" s="1518"/>
      <c r="M679" s="1518"/>
      <c r="N679" s="1518"/>
      <c r="O679" s="1518"/>
      <c r="P679" s="1518"/>
      <c r="Q679" s="1518"/>
      <c r="R679" s="1518"/>
      <c r="T679" s="55" t="s">
        <v>365</v>
      </c>
      <c r="U679" t="s">
        <v>473</v>
      </c>
      <c r="Z679" s="1518">
        <f>C634</f>
        <v>0</v>
      </c>
      <c r="AA679" s="1518"/>
      <c r="AB679" s="1518"/>
      <c r="AC679" s="1518"/>
      <c r="AD679" s="1518"/>
      <c r="AE679" s="1518"/>
      <c r="AF679" s="1518"/>
      <c r="AG679" s="1518"/>
      <c r="AH679" s="1518"/>
      <c r="AI679" s="1518"/>
      <c r="AJ679" s="1518"/>
      <c r="AK679" s="1518"/>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1"/>
      <c r="H680" s="1391"/>
      <c r="I680" s="1391"/>
      <c r="J680" s="1391"/>
      <c r="K680" s="1391"/>
      <c r="L680" s="1391"/>
      <c r="M680" s="1391"/>
      <c r="N680" s="1391"/>
      <c r="O680" s="1391"/>
      <c r="P680" s="1391"/>
      <c r="Q680" s="1391"/>
      <c r="R680" s="1391"/>
      <c r="T680" s="22"/>
      <c r="U680" t="s">
        <v>86</v>
      </c>
      <c r="Z680" s="1391"/>
      <c r="AA680" s="1391"/>
      <c r="AB680" s="1391"/>
      <c r="AC680" s="1391"/>
      <c r="AD680" s="1391"/>
      <c r="AE680" s="1391"/>
      <c r="AF680" s="1391"/>
      <c r="AG680" s="1391"/>
      <c r="AH680" s="1391"/>
      <c r="AI680" s="1391"/>
      <c r="AJ680" s="1391"/>
      <c r="AK680" s="1391"/>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1"/>
      <c r="H681" s="1391"/>
      <c r="I681" s="1391"/>
      <c r="J681" s="1391"/>
      <c r="K681" s="1391"/>
      <c r="L681" s="1391"/>
      <c r="M681" s="1391"/>
      <c r="N681" s="1391"/>
      <c r="O681" s="1391"/>
      <c r="P681" s="1391"/>
      <c r="Q681" s="1391"/>
      <c r="R681" s="1391"/>
      <c r="U681" t="s">
        <v>590</v>
      </c>
      <c r="Z681" s="1374"/>
      <c r="AA681" s="1374"/>
      <c r="AB681" s="1374"/>
      <c r="AC681" s="1374"/>
      <c r="AD681" s="1374"/>
      <c r="AE681" s="1374"/>
      <c r="AF681" s="1374"/>
      <c r="AG681" s="1374"/>
      <c r="AH681" s="1374"/>
      <c r="AI681" s="1374"/>
      <c r="AJ681" s="1374"/>
      <c r="AK681" s="1374"/>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1"/>
      <c r="H682" s="1391"/>
      <c r="I682" s="1391"/>
      <c r="J682" s="1391"/>
      <c r="K682" s="1391"/>
      <c r="L682" s="1391"/>
      <c r="M682" s="1391"/>
      <c r="N682" s="1391"/>
      <c r="O682" s="1391"/>
      <c r="P682" s="1391"/>
      <c r="Q682" s="1391"/>
      <c r="R682" s="1391"/>
      <c r="U682" t="s">
        <v>17</v>
      </c>
      <c r="Z682" s="1374"/>
      <c r="AA682" s="1374"/>
      <c r="AB682" s="1374"/>
      <c r="AC682" s="1374"/>
      <c r="AD682" s="1374"/>
      <c r="AE682" s="1374"/>
      <c r="AF682" s="1374"/>
      <c r="AG682" s="1374"/>
      <c r="AH682" s="1374"/>
      <c r="AI682" s="1374"/>
      <c r="AJ682" s="1374"/>
      <c r="AK682" s="1374"/>
      <c r="AZ682" s="3"/>
      <c r="BA682" s="3"/>
      <c r="BB682" s="3"/>
      <c r="BC682" s="3"/>
      <c r="BD682" s="3"/>
      <c r="BF682" s="312" t="s">
        <v>933</v>
      </c>
      <c r="BG682" s="321">
        <f>SUM(BG657:BG681)</f>
        <v>195</v>
      </c>
      <c r="BH682" s="322">
        <f>SUM(BH657:BH681)</f>
        <v>1</v>
      </c>
      <c r="BI682" s="322">
        <f>SUM(BI657:BI681)</f>
        <v>0.59897435897435891</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9"/>
      <c r="H683" s="1439"/>
      <c r="I683" s="1439"/>
      <c r="J683" s="1439"/>
      <c r="K683" s="1439"/>
      <c r="L683" s="1439"/>
      <c r="O683" s="33" t="s">
        <v>208</v>
      </c>
      <c r="P683" s="1422"/>
      <c r="Q683" s="1422"/>
      <c r="R683" s="1422"/>
      <c r="U683" t="s">
        <v>318</v>
      </c>
      <c r="Z683" s="1439"/>
      <c r="AA683" s="1439"/>
      <c r="AB683" s="1439"/>
      <c r="AC683" s="1439"/>
      <c r="AD683" s="1439"/>
      <c r="AE683" s="1439"/>
      <c r="AH683" s="33" t="s">
        <v>208</v>
      </c>
      <c r="AI683" s="1422"/>
      <c r="AJ683" s="1422"/>
      <c r="AK683" s="1422"/>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1"/>
      <c r="I684" s="1391"/>
      <c r="J684" s="1391"/>
      <c r="K684" s="1391"/>
      <c r="L684" s="1391"/>
      <c r="M684" s="1391"/>
      <c r="N684" s="1391"/>
      <c r="O684" s="1391"/>
      <c r="P684" s="1391"/>
      <c r="Q684" s="1391"/>
      <c r="R684" s="1391"/>
      <c r="U684" t="s">
        <v>18</v>
      </c>
      <c r="AA684" s="1391"/>
      <c r="AB684" s="1391"/>
      <c r="AC684" s="1391"/>
      <c r="AD684" s="1391"/>
      <c r="AE684" s="1391"/>
      <c r="AF684" s="1391"/>
      <c r="AG684" s="1391"/>
      <c r="AH684" s="1391"/>
      <c r="AI684" s="1391"/>
      <c r="AJ684" s="1391"/>
      <c r="AK684" s="1391"/>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8" t="s">
        <v>679</v>
      </c>
      <c r="O685" s="1378"/>
      <c r="U685" t="s">
        <v>20</v>
      </c>
      <c r="AG685" s="1378" t="s">
        <v>679</v>
      </c>
      <c r="AH685" s="1378"/>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2">
        <v>1716</v>
      </c>
      <c r="BY685" s="1082">
        <v>1905</v>
      </c>
      <c r="BZ685" s="1082">
        <v>2324</v>
      </c>
      <c r="CA685" s="1082">
        <v>3178</v>
      </c>
      <c r="CB685" s="1082">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2">
        <v>1108</v>
      </c>
      <c r="BY686" s="1082">
        <v>1228</v>
      </c>
      <c r="BZ686" s="1082">
        <v>1543</v>
      </c>
      <c r="CA686" s="1082">
        <v>2192</v>
      </c>
      <c r="CB686" s="1082">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2">
        <v>608</v>
      </c>
      <c r="BY687" s="1082">
        <v>716</v>
      </c>
      <c r="BZ687" s="1082">
        <v>915</v>
      </c>
      <c r="CA687" s="1082">
        <v>1300</v>
      </c>
      <c r="CB687" s="1082">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2">
        <v>1062</v>
      </c>
      <c r="BY688" s="1082">
        <v>1202</v>
      </c>
      <c r="BZ688" s="1082">
        <v>1509</v>
      </c>
      <c r="CA688" s="1082">
        <v>2065</v>
      </c>
      <c r="CB688" s="1082">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8" t="s">
        <v>555</v>
      </c>
      <c r="AF689" s="1378"/>
      <c r="AZ689" s="34"/>
      <c r="BA689" s="34"/>
      <c r="BB689" s="34"/>
      <c r="BC689" s="34"/>
      <c r="BD689" s="34"/>
      <c r="BE689" s="34"/>
      <c r="BF689" s="34"/>
      <c r="BG689" s="315">
        <f t="shared" ref="BG689:BG713" si="46">G714</f>
        <v>6</v>
      </c>
      <c r="BH689" s="319">
        <f>BG689/$BG$714</f>
        <v>3.0769230769230771E-2</v>
      </c>
      <c r="BI689" s="320">
        <f t="shared" ref="BI689:BI713" si="47">IF(BH689=0," ",BH689*AH714)</f>
        <v>9.2362834298318174E-3</v>
      </c>
      <c r="BJ689" s="3"/>
      <c r="BK689" s="34"/>
      <c r="BL689" s="34"/>
      <c r="BM689" s="34"/>
      <c r="BN689" s="34"/>
      <c r="BO689" s="34"/>
      <c r="BP689" s="379" t="s">
        <v>68</v>
      </c>
      <c r="BQ689" s="499">
        <v>1774</v>
      </c>
      <c r="BR689" s="500">
        <v>1900</v>
      </c>
      <c r="BS689" s="499">
        <v>2280</v>
      </c>
      <c r="BT689" s="500">
        <v>2634</v>
      </c>
      <c r="BU689" s="500">
        <v>2940</v>
      </c>
      <c r="BV689" s="501">
        <v>3242</v>
      </c>
      <c r="BW689" s="34"/>
      <c r="BX689" s="1082">
        <v>1108</v>
      </c>
      <c r="BY689" s="1082">
        <v>1228</v>
      </c>
      <c r="BZ689" s="1082">
        <v>1543</v>
      </c>
      <c r="CA689" s="1082">
        <v>2192</v>
      </c>
      <c r="CB689" s="1082">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8" t="s">
        <v>555</v>
      </c>
      <c r="AF690" s="1378"/>
      <c r="AZ690" s="34"/>
      <c r="BA690" s="34"/>
      <c r="BB690" s="34"/>
      <c r="BC690" s="34"/>
      <c r="BD690" s="34"/>
      <c r="BE690" s="34"/>
      <c r="BF690" s="34"/>
      <c r="BG690" s="316">
        <f t="shared" si="46"/>
        <v>4</v>
      </c>
      <c r="BH690" s="319">
        <f t="shared" ref="BH690:BH713" si="48">BG690/$BG$714</f>
        <v>2.0512820512820513E-2</v>
      </c>
      <c r="BI690" s="320">
        <f t="shared" si="47"/>
        <v>1.0256410256410256E-2</v>
      </c>
      <c r="BJ690" s="3"/>
      <c r="BK690" s="34"/>
      <c r="BL690" s="34"/>
      <c r="BM690" s="34"/>
      <c r="BN690" s="34"/>
      <c r="BO690" s="34"/>
      <c r="BP690" s="379" t="s">
        <v>740</v>
      </c>
      <c r="BQ690" s="499">
        <v>1840</v>
      </c>
      <c r="BR690" s="500">
        <v>1970</v>
      </c>
      <c r="BS690" s="499">
        <v>2364</v>
      </c>
      <c r="BT690" s="500">
        <v>2732</v>
      </c>
      <c r="BU690" s="500">
        <v>3050</v>
      </c>
      <c r="BV690" s="501">
        <v>3364</v>
      </c>
      <c r="BW690" s="34"/>
      <c r="BX690" s="1082">
        <v>1096</v>
      </c>
      <c r="BY690" s="1082">
        <v>1253</v>
      </c>
      <c r="BZ690" s="1082">
        <v>1649</v>
      </c>
      <c r="CA690" s="1082">
        <v>2342</v>
      </c>
      <c r="CB690" s="1082">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50">
        <v>45069</v>
      </c>
      <c r="AF691" s="1550"/>
      <c r="AG691" s="1550"/>
      <c r="AH691" s="1550"/>
      <c r="AI691" s="1550"/>
      <c r="AZ691" s="34"/>
      <c r="BA691" s="34"/>
      <c r="BB691" s="34"/>
      <c r="BC691" s="34"/>
      <c r="BD691" s="34"/>
      <c r="BE691" s="3"/>
      <c r="BF691" s="3"/>
      <c r="BG691" s="316">
        <f t="shared" si="46"/>
        <v>11</v>
      </c>
      <c r="BH691" s="319">
        <f t="shared" si="48"/>
        <v>5.6410256410256411E-2</v>
      </c>
      <c r="BI691" s="320">
        <f t="shared" si="47"/>
        <v>3.3866372576049991E-2</v>
      </c>
      <c r="BJ691" s="3"/>
      <c r="BK691" s="3"/>
      <c r="BL691" s="3"/>
      <c r="BM691" s="3"/>
      <c r="BN691" s="34"/>
      <c r="BO691" s="34"/>
      <c r="BP691" s="379" t="s">
        <v>741</v>
      </c>
      <c r="BQ691" s="499">
        <v>1540</v>
      </c>
      <c r="BR691" s="500">
        <v>1650</v>
      </c>
      <c r="BS691" s="499">
        <v>1980</v>
      </c>
      <c r="BT691" s="500">
        <v>2288</v>
      </c>
      <c r="BU691" s="500">
        <v>2552</v>
      </c>
      <c r="BV691" s="501">
        <v>2816</v>
      </c>
      <c r="BW691" s="34"/>
      <c r="BX691" s="1082">
        <v>1062</v>
      </c>
      <c r="BY691" s="1082">
        <v>1202</v>
      </c>
      <c r="BZ691" s="1082">
        <v>1509</v>
      </c>
      <c r="CA691" s="1082">
        <v>2065</v>
      </c>
      <c r="CB691" s="1082">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29">
        <v>45161</v>
      </c>
      <c r="AF692" s="1729"/>
      <c r="AG692" s="1729"/>
      <c r="AH692" s="1729"/>
      <c r="AI692" s="1729"/>
      <c r="AZ692" s="34"/>
      <c r="BA692" s="34"/>
      <c r="BB692" s="34"/>
      <c r="BC692" s="34"/>
      <c r="BD692" s="34"/>
      <c r="BE692" s="3"/>
      <c r="BF692" s="2"/>
      <c r="BG692" s="316">
        <f t="shared" si="46"/>
        <v>19</v>
      </c>
      <c r="BH692" s="319">
        <f t="shared" si="48"/>
        <v>9.7435897435897437E-2</v>
      </c>
      <c r="BI692" s="320">
        <f t="shared" si="47"/>
        <v>6.8231320650675498E-2</v>
      </c>
      <c r="BJ692" s="3"/>
      <c r="BK692" s="3"/>
      <c r="BL692" s="3"/>
      <c r="BM692" s="3"/>
      <c r="BN692" s="34"/>
      <c r="BO692" s="34"/>
      <c r="BP692" s="379" t="s">
        <v>742</v>
      </c>
      <c r="BQ692" s="499">
        <v>2276</v>
      </c>
      <c r="BR692" s="500">
        <v>2440</v>
      </c>
      <c r="BS692" s="499">
        <v>2926</v>
      </c>
      <c r="BT692" s="500">
        <v>3382</v>
      </c>
      <c r="BU692" s="500">
        <v>3774</v>
      </c>
      <c r="BV692" s="501">
        <v>4164</v>
      </c>
      <c r="BW692" s="34"/>
      <c r="BX692" s="1082">
        <v>1394</v>
      </c>
      <c r="BY692" s="1082">
        <v>1542</v>
      </c>
      <c r="BZ692" s="1082">
        <v>1979</v>
      </c>
      <c r="CA692" s="1082">
        <v>2748</v>
      </c>
      <c r="CB692" s="1082">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743</v>
      </c>
      <c r="BQ693" s="499">
        <v>3262</v>
      </c>
      <c r="BR693" s="500">
        <v>3496</v>
      </c>
      <c r="BS693" s="499">
        <v>4194</v>
      </c>
      <c r="BT693" s="500">
        <v>4846</v>
      </c>
      <c r="BU693" s="500">
        <v>5406</v>
      </c>
      <c r="BV693" s="501">
        <v>5966</v>
      </c>
      <c r="BW693" s="34"/>
      <c r="BX693" s="1082">
        <v>2115</v>
      </c>
      <c r="BY693" s="1082">
        <v>2631</v>
      </c>
      <c r="BZ693" s="1082">
        <v>3198</v>
      </c>
      <c r="CA693" s="1082">
        <v>4111</v>
      </c>
      <c r="CB693" s="1082">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50">
        <v>45323</v>
      </c>
      <c r="AF694" s="1550"/>
      <c r="AG694" s="1550"/>
      <c r="AH694" s="1550"/>
      <c r="AI694" s="1550"/>
      <c r="AZ694" s="3"/>
      <c r="BA694" s="3"/>
      <c r="BB694" s="3"/>
      <c r="BC694" s="3"/>
      <c r="BD694" s="3"/>
      <c r="BE694" s="3"/>
      <c r="BF694" s="3"/>
      <c r="BG694" s="316">
        <f t="shared" si="46"/>
        <v>7</v>
      </c>
      <c r="BH694" s="319">
        <f t="shared" si="48"/>
        <v>3.5897435897435895E-2</v>
      </c>
      <c r="BI694" s="320">
        <f t="shared" si="47"/>
        <v>1.0769230769230769E-2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4">
        <f>'Sources and Uses Budget'!N135</f>
        <v>0.50966291768332284</v>
      </c>
      <c r="AF695" s="1704"/>
      <c r="AG695" s="1704"/>
      <c r="AH695" s="1704"/>
      <c r="AI695" s="1704"/>
      <c r="AZ695" s="3"/>
      <c r="BA695" s="3"/>
      <c r="BB695" s="3"/>
      <c r="BC695" s="3"/>
      <c r="BD695" s="3"/>
      <c r="BE695" s="3"/>
      <c r="BF695" s="3"/>
      <c r="BG695" s="316">
        <f t="shared" si="46"/>
        <v>12</v>
      </c>
      <c r="BH695" s="319">
        <f t="shared" si="48"/>
        <v>6.1538461538461542E-2</v>
      </c>
      <c r="BI695" s="320">
        <f t="shared" si="47"/>
        <v>3.0769230769230771E-2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8" t="str">
        <f>H334</f>
        <v>CalHFA</v>
      </c>
      <c r="X696" s="1518"/>
      <c r="Y696" s="1518"/>
      <c r="Z696" s="1518"/>
      <c r="AA696" s="1518"/>
      <c r="AB696" s="1518"/>
      <c r="AC696" s="1518"/>
      <c r="AD696" s="1518"/>
      <c r="AE696" s="1518"/>
      <c r="AF696" s="1518"/>
      <c r="AG696" s="1518"/>
      <c r="AH696" s="1518"/>
      <c r="AI696" s="1518"/>
      <c r="AJ696" s="1518"/>
      <c r="AK696" s="1518"/>
      <c r="AZ696" s="3"/>
      <c r="BA696" s="3"/>
      <c r="BB696" s="3"/>
      <c r="BC696" s="3"/>
      <c r="BD696" s="3"/>
      <c r="BE696" s="3"/>
      <c r="BF696" s="3"/>
      <c r="BG696" s="316">
        <f t="shared" si="46"/>
        <v>24</v>
      </c>
      <c r="BH696" s="319">
        <f t="shared" si="48"/>
        <v>0.12307692307692308</v>
      </c>
      <c r="BI696" s="320">
        <f t="shared" si="47"/>
        <v>7.3846153846153853E-2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34</v>
      </c>
      <c r="BH697" s="319">
        <f t="shared" si="48"/>
        <v>0.17435897435897435</v>
      </c>
      <c r="BI697" s="320">
        <f t="shared" si="47"/>
        <v>0.12205128205128203</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8" t="s">
        <v>679</v>
      </c>
      <c r="AF698" s="1378"/>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1"/>
      <c r="X699" s="1391"/>
      <c r="Y699" s="1391"/>
      <c r="Z699" s="1391"/>
      <c r="AA699" s="1391"/>
      <c r="AB699" s="1391"/>
      <c r="AC699" s="1391"/>
      <c r="AD699" s="1391"/>
      <c r="AE699" s="1391"/>
      <c r="AF699" s="1391"/>
      <c r="AG699" s="1391"/>
      <c r="AH699" s="1391"/>
      <c r="AI699" s="1391"/>
      <c r="AJ699" s="1391"/>
      <c r="AK699" s="1391"/>
      <c r="AZ699" s="3"/>
      <c r="BA699" s="3"/>
      <c r="BB699" s="3"/>
      <c r="BC699" s="3"/>
      <c r="BD699" s="3"/>
      <c r="BE699" s="3"/>
      <c r="BF699" s="3"/>
      <c r="BG699" s="316">
        <f t="shared" si="46"/>
        <v>7</v>
      </c>
      <c r="BH699" s="319">
        <f t="shared" si="48"/>
        <v>3.5897435897435895E-2</v>
      </c>
      <c r="BI699" s="320">
        <f t="shared" si="47"/>
        <v>1.0771549725038096E-2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1"/>
      <c r="K700" s="1391"/>
      <c r="L700" s="1391"/>
      <c r="M700" s="1391"/>
      <c r="N700" s="1391"/>
      <c r="O700" s="1391"/>
      <c r="P700" s="1391"/>
      <c r="Q700" s="1391"/>
      <c r="R700" s="1391"/>
      <c r="S700" s="1391"/>
      <c r="T700" s="1391"/>
      <c r="U700" s="1391"/>
      <c r="V700" s="1391"/>
      <c r="W700" s="1391"/>
      <c r="X700" s="1391"/>
      <c r="AZ700" s="3"/>
      <c r="BA700" s="3"/>
      <c r="BB700" s="3"/>
      <c r="BC700" s="3"/>
      <c r="BD700" s="3"/>
      <c r="BE700" s="3"/>
      <c r="BF700" s="3"/>
      <c r="BG700" s="316">
        <f t="shared" si="46"/>
        <v>13</v>
      </c>
      <c r="BH700" s="319">
        <f t="shared" si="48"/>
        <v>6.6666666666666666E-2</v>
      </c>
      <c r="BI700" s="320">
        <f t="shared" si="47"/>
        <v>3.3333333333333333E-2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9"/>
      <c r="K701" s="1439"/>
      <c r="L701" s="1439"/>
      <c r="M701" s="1439"/>
      <c r="N701" s="1439"/>
      <c r="O701" s="1439"/>
      <c r="P701" s="4" t="s">
        <v>208</v>
      </c>
      <c r="Q701" s="4"/>
      <c r="R701" s="1422"/>
      <c r="S701" s="1422"/>
      <c r="T701" s="1422"/>
      <c r="AZ701" s="3"/>
      <c r="BA701" s="3"/>
      <c r="BB701" s="3"/>
      <c r="BC701" s="3"/>
      <c r="BD701" s="3"/>
      <c r="BE701" s="3"/>
      <c r="BF701" s="3"/>
      <c r="BG701" s="316">
        <f t="shared" si="46"/>
        <v>24</v>
      </c>
      <c r="BH701" s="319">
        <f t="shared" si="48"/>
        <v>0.12307692307692308</v>
      </c>
      <c r="BI701" s="320">
        <f t="shared" si="47"/>
        <v>7.3862055257404094E-2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1" t="s">
        <v>309</v>
      </c>
      <c r="X702" s="1391"/>
      <c r="Y702" s="1391"/>
      <c r="Z702" s="1391"/>
      <c r="AA702" s="1391"/>
      <c r="AB702" s="1391"/>
      <c r="AC702" s="1391"/>
      <c r="AD702" s="1391"/>
      <c r="AE702" s="1391"/>
      <c r="AF702" s="1391"/>
      <c r="AG702" s="1391"/>
      <c r="AH702" s="1391"/>
      <c r="AI702" s="1391"/>
      <c r="AJ702" s="1391"/>
      <c r="AK702" s="1391"/>
      <c r="AZ702" s="3"/>
      <c r="BA702" s="3"/>
      <c r="BB702" s="3"/>
      <c r="BC702" s="3"/>
      <c r="BD702" s="3"/>
      <c r="BE702" s="3"/>
      <c r="BF702" s="3"/>
      <c r="BG702" s="316">
        <f t="shared" si="46"/>
        <v>34</v>
      </c>
      <c r="BH702" s="319">
        <f t="shared" si="48"/>
        <v>0.17435897435897435</v>
      </c>
      <c r="BI702" s="320">
        <f t="shared" si="47"/>
        <v>0.12209633604982441</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1" t="s">
        <v>336</v>
      </c>
      <c r="F703" s="1391"/>
      <c r="G703" s="1391"/>
      <c r="H703" s="1391"/>
      <c r="I703" s="1391"/>
      <c r="J703" s="1391"/>
      <c r="K703" s="1391"/>
      <c r="L703" s="1391"/>
      <c r="M703" s="1391"/>
      <c r="N703" s="1391"/>
      <c r="O703" s="1391"/>
      <c r="P703" s="1391"/>
      <c r="Q703" s="1391"/>
      <c r="R703" s="1391"/>
      <c r="S703" s="1391"/>
      <c r="T703" s="1391"/>
      <c r="U703" s="1391"/>
      <c r="V703" s="1391"/>
      <c r="W703" s="1391"/>
      <c r="X703" s="1391"/>
      <c r="Y703" s="1391"/>
      <c r="Z703" s="1391"/>
      <c r="AA703" s="1391"/>
      <c r="AB703" s="1391"/>
      <c r="AC703" s="1391"/>
      <c r="AD703" s="1391"/>
      <c r="AE703" s="1391"/>
      <c r="AF703" s="1391"/>
      <c r="AG703" s="1391"/>
      <c r="AH703" s="1391"/>
      <c r="AI703" s="1391"/>
      <c r="AJ703" s="1391"/>
      <c r="AK703" s="1391"/>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2" t="s">
        <v>96</v>
      </c>
      <c r="B705" s="1272"/>
      <c r="C705" s="1272"/>
      <c r="D705" s="1272"/>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1272"/>
      <c r="AD705" s="1272"/>
      <c r="AE705" s="1272"/>
      <c r="AF705" s="1272"/>
      <c r="AG705" s="1272"/>
      <c r="AH705" s="1272"/>
      <c r="AI705" s="1272"/>
      <c r="AJ705" s="1272"/>
      <c r="AK705" s="1272"/>
      <c r="AL705" s="1272"/>
      <c r="AM705" s="1272"/>
      <c r="AN705" s="1272"/>
      <c r="AO705" s="1272"/>
      <c r="AP705" s="933"/>
      <c r="AQ705" s="933"/>
      <c r="AR705" s="933"/>
      <c r="AS705" s="933"/>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2"/>
      <c r="B706" s="1272"/>
      <c r="C706" s="1272"/>
      <c r="D706" s="1272"/>
      <c r="E706" s="1272"/>
      <c r="F706" s="1272"/>
      <c r="G706" s="1272"/>
      <c r="H706" s="1272"/>
      <c r="I706" s="1272"/>
      <c r="J706" s="1272"/>
      <c r="K706" s="1272"/>
      <c r="L706" s="1272"/>
      <c r="M706" s="1272"/>
      <c r="N706" s="1272"/>
      <c r="O706" s="1272"/>
      <c r="P706" s="1272"/>
      <c r="Q706" s="1272"/>
      <c r="R706" s="1272"/>
      <c r="S706" s="1272"/>
      <c r="T706" s="1272"/>
      <c r="U706" s="1272"/>
      <c r="V706" s="1272"/>
      <c r="W706" s="1272"/>
      <c r="X706" s="1272"/>
      <c r="Y706" s="1272"/>
      <c r="Z706" s="1272"/>
      <c r="AA706" s="1272"/>
      <c r="AB706" s="1272"/>
      <c r="AC706" s="1272"/>
      <c r="AD706" s="1272"/>
      <c r="AE706" s="1272"/>
      <c r="AF706" s="1272"/>
      <c r="AG706" s="1272"/>
      <c r="AH706" s="1272"/>
      <c r="AI706" s="1272"/>
      <c r="AJ706" s="1272"/>
      <c r="AK706" s="1272"/>
      <c r="AL706" s="1272"/>
      <c r="AM706" s="1272"/>
      <c r="AN706" s="1272"/>
      <c r="AO706" s="1272"/>
      <c r="AP706" s="933"/>
      <c r="AQ706" s="933"/>
      <c r="AR706" s="933"/>
      <c r="AS706" s="933"/>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2"/>
      <c r="B707" s="1272"/>
      <c r="C707" s="1272"/>
      <c r="D707" s="1272"/>
      <c r="E707" s="1272"/>
      <c r="F707" s="1272"/>
      <c r="G707" s="1272"/>
      <c r="H707" s="1272"/>
      <c r="I707" s="1272"/>
      <c r="J707" s="1272"/>
      <c r="K707" s="1272"/>
      <c r="L707" s="1272"/>
      <c r="M707" s="1272"/>
      <c r="N707" s="1272"/>
      <c r="O707" s="1272"/>
      <c r="P707" s="1272"/>
      <c r="Q707" s="1272"/>
      <c r="R707" s="1272"/>
      <c r="S707" s="1272"/>
      <c r="T707" s="1272"/>
      <c r="U707" s="1272"/>
      <c r="V707" s="1272"/>
      <c r="W707" s="1272"/>
      <c r="X707" s="1272"/>
      <c r="Y707" s="1272"/>
      <c r="Z707" s="1272"/>
      <c r="AA707" s="1272"/>
      <c r="AB707" s="1272"/>
      <c r="AC707" s="1272"/>
      <c r="AD707" s="1272"/>
      <c r="AE707" s="1272"/>
      <c r="AF707" s="1272"/>
      <c r="AG707" s="1272"/>
      <c r="AH707" s="1272"/>
      <c r="AI707" s="1272"/>
      <c r="AJ707" s="1272"/>
      <c r="AK707" s="1272"/>
      <c r="AL707" s="1272"/>
      <c r="AM707" s="1272"/>
      <c r="AN707" s="1272"/>
      <c r="AO707" s="1272"/>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91" t="s">
        <v>391</v>
      </c>
      <c r="C710" s="1492"/>
      <c r="D710" s="1492"/>
      <c r="E710" s="1492"/>
      <c r="F710" s="1493"/>
      <c r="G710" s="1491" t="s">
        <v>287</v>
      </c>
      <c r="H710" s="1492"/>
      <c r="I710" s="1492"/>
      <c r="J710" s="1493"/>
      <c r="K710" s="1507" t="s">
        <v>1940</v>
      </c>
      <c r="L710" s="1508"/>
      <c r="M710" s="1508"/>
      <c r="N710" s="1509"/>
      <c r="O710" s="1491" t="s">
        <v>457</v>
      </c>
      <c r="P710" s="1492"/>
      <c r="Q710" s="1492"/>
      <c r="R710" s="1492"/>
      <c r="S710" s="1493"/>
      <c r="T710" s="1686" t="s">
        <v>2332</v>
      </c>
      <c r="U710" s="1492"/>
      <c r="V710" s="1492"/>
      <c r="W710" s="1493"/>
      <c r="X710" s="1686" t="s">
        <v>2334</v>
      </c>
      <c r="Y710" s="1492"/>
      <c r="Z710" s="1492"/>
      <c r="AA710" s="1492"/>
      <c r="AB710" s="1493"/>
      <c r="AC710" s="1686" t="s">
        <v>2333</v>
      </c>
      <c r="AD710" s="1492"/>
      <c r="AE710" s="1492"/>
      <c r="AF710" s="1492"/>
      <c r="AG710" s="1493"/>
      <c r="AH710" s="1686" t="s">
        <v>2335</v>
      </c>
      <c r="AI710" s="1492"/>
      <c r="AJ710" s="1493"/>
      <c r="AK710" s="1686" t="s">
        <v>2369</v>
      </c>
      <c r="AL710" s="1492"/>
      <c r="AM710" s="1492"/>
      <c r="AN710" s="1492"/>
      <c r="AO710" s="1493"/>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94"/>
      <c r="C711" s="1495"/>
      <c r="D711" s="1495"/>
      <c r="E711" s="1495"/>
      <c r="F711" s="1496"/>
      <c r="G711" s="1494"/>
      <c r="H711" s="1495"/>
      <c r="I711" s="1495"/>
      <c r="J711" s="1496"/>
      <c r="K711" s="1510"/>
      <c r="L711" s="1511"/>
      <c r="M711" s="1511"/>
      <c r="N711" s="1512"/>
      <c r="O711" s="1494"/>
      <c r="P711" s="1495"/>
      <c r="Q711" s="1495"/>
      <c r="R711" s="1495"/>
      <c r="S711" s="1496"/>
      <c r="T711" s="1494"/>
      <c r="U711" s="1495"/>
      <c r="V711" s="1495"/>
      <c r="W711" s="1496"/>
      <c r="X711" s="1494"/>
      <c r="Y711" s="1495"/>
      <c r="Z711" s="1495"/>
      <c r="AA711" s="1495"/>
      <c r="AB711" s="1496"/>
      <c r="AC711" s="1494"/>
      <c r="AD711" s="1495"/>
      <c r="AE711" s="1495"/>
      <c r="AF711" s="1495"/>
      <c r="AG711" s="1496"/>
      <c r="AH711" s="1494"/>
      <c r="AI711" s="1495"/>
      <c r="AJ711" s="1496"/>
      <c r="AK711" s="1494"/>
      <c r="AL711" s="1495"/>
      <c r="AM711" s="1495"/>
      <c r="AN711" s="1495"/>
      <c r="AO711" s="1496"/>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94"/>
      <c r="C712" s="1495"/>
      <c r="D712" s="1495"/>
      <c r="E712" s="1495"/>
      <c r="F712" s="1496"/>
      <c r="G712" s="1494"/>
      <c r="H712" s="1495"/>
      <c r="I712" s="1495"/>
      <c r="J712" s="1496"/>
      <c r="K712" s="1510"/>
      <c r="L712" s="1511"/>
      <c r="M712" s="1511"/>
      <c r="N712" s="1512"/>
      <c r="O712" s="1494"/>
      <c r="P712" s="1495"/>
      <c r="Q712" s="1495"/>
      <c r="R712" s="1495"/>
      <c r="S712" s="1496"/>
      <c r="T712" s="1494"/>
      <c r="U712" s="1495"/>
      <c r="V712" s="1495"/>
      <c r="W712" s="1496"/>
      <c r="X712" s="1494"/>
      <c r="Y712" s="1495"/>
      <c r="Z712" s="1495"/>
      <c r="AA712" s="1495"/>
      <c r="AB712" s="1496"/>
      <c r="AC712" s="1494"/>
      <c r="AD712" s="1495"/>
      <c r="AE712" s="1495"/>
      <c r="AF712" s="1495"/>
      <c r="AG712" s="1496"/>
      <c r="AH712" s="1494"/>
      <c r="AI712" s="1495"/>
      <c r="AJ712" s="1496"/>
      <c r="AK712" s="1494"/>
      <c r="AL712" s="1495"/>
      <c r="AM712" s="1495"/>
      <c r="AN712" s="1495"/>
      <c r="AO712" s="1496"/>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7"/>
      <c r="C713" s="1498"/>
      <c r="D713" s="1498"/>
      <c r="E713" s="1498"/>
      <c r="F713" s="1499"/>
      <c r="G713" s="1497"/>
      <c r="H713" s="1498"/>
      <c r="I713" s="1498"/>
      <c r="J713" s="1499"/>
      <c r="K713" s="1510"/>
      <c r="L713" s="1511"/>
      <c r="M713" s="1511"/>
      <c r="N713" s="1512"/>
      <c r="O713" s="1497"/>
      <c r="P713" s="1498"/>
      <c r="Q713" s="1498"/>
      <c r="R713" s="1498"/>
      <c r="S713" s="1499"/>
      <c r="T713" s="1497"/>
      <c r="U713" s="1498"/>
      <c r="V713" s="1498"/>
      <c r="W713" s="1499"/>
      <c r="X713" s="1497"/>
      <c r="Y713" s="1498"/>
      <c r="Z713" s="1498"/>
      <c r="AA713" s="1498"/>
      <c r="AB713" s="1499"/>
      <c r="AC713" s="1497"/>
      <c r="AD713" s="1498"/>
      <c r="AE713" s="1498"/>
      <c r="AF713" s="1498"/>
      <c r="AG713" s="1499"/>
      <c r="AH713" s="1497"/>
      <c r="AI713" s="1498"/>
      <c r="AJ713" s="1499"/>
      <c r="AK713" s="1497"/>
      <c r="AL713" s="1498"/>
      <c r="AM713" s="1498"/>
      <c r="AN713" s="1498"/>
      <c r="AO713" s="1499"/>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1" t="s">
        <v>327</v>
      </c>
      <c r="C714" s="1382"/>
      <c r="D714" s="1382"/>
      <c r="E714" s="1382"/>
      <c r="F714" s="1383"/>
      <c r="G714" s="1488">
        <v>6</v>
      </c>
      <c r="H714" s="1489"/>
      <c r="I714" s="1489"/>
      <c r="J714" s="1490"/>
      <c r="K714" s="1485">
        <v>692</v>
      </c>
      <c r="L714" s="1486"/>
      <c r="M714" s="1486"/>
      <c r="N714" s="1487"/>
      <c r="O714" s="1655">
        <f>670-T714</f>
        <v>500</v>
      </c>
      <c r="P714" s="1656"/>
      <c r="Q714" s="1656"/>
      <c r="R714" s="1656"/>
      <c r="S714" s="1657"/>
      <c r="T714" s="1655">
        <v>170</v>
      </c>
      <c r="U714" s="1656"/>
      <c r="V714" s="1656"/>
      <c r="W714" s="1657"/>
      <c r="X714" s="1503">
        <f t="shared" ref="X714:X738" si="49">O714+T714</f>
        <v>670</v>
      </c>
      <c r="Y714" s="1504"/>
      <c r="Z714" s="1504"/>
      <c r="AA714" s="1504"/>
      <c r="AB714" s="1505"/>
      <c r="AC714" s="1687">
        <v>0.3</v>
      </c>
      <c r="AD714" s="1688"/>
      <c r="AE714" s="1688"/>
      <c r="AF714" s="1688"/>
      <c r="AG714" s="1689"/>
      <c r="AH714" s="1683">
        <f t="shared" ref="AH714:AH738" si="50">IF($AC714&gt;0,($X714/$BA656), " ")</f>
        <v>0.30017921146953402</v>
      </c>
      <c r="AI714" s="1684"/>
      <c r="AJ714" s="1685"/>
      <c r="AK714" s="1470" t="s">
        <v>601</v>
      </c>
      <c r="AL714" s="1471"/>
      <c r="AM714" s="1471"/>
      <c r="AN714" s="1471"/>
      <c r="AO714" s="1472"/>
      <c r="AP714" s="3"/>
      <c r="AQ714" s="3"/>
      <c r="AR714" s="3"/>
      <c r="AS714" s="3"/>
      <c r="AY714" s="1131"/>
      <c r="AZ714" s="1131"/>
      <c r="BA714" s="1131"/>
      <c r="BB714" s="1131"/>
      <c r="BC714" s="1131"/>
      <c r="BD714" s="3"/>
      <c r="BE714" s="3"/>
      <c r="BF714" s="3"/>
      <c r="BG714" s="895">
        <f>SUM(BG689:BG713)</f>
        <v>195</v>
      </c>
      <c r="BH714" s="322">
        <f>SUM(BH689:BH713)</f>
        <v>1</v>
      </c>
      <c r="BI714" s="322">
        <f>SUM(BI689:BI713)</f>
        <v>0.5990895587144649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1" t="s">
        <v>327</v>
      </c>
      <c r="C715" s="1382"/>
      <c r="D715" s="1382"/>
      <c r="E715" s="1382"/>
      <c r="F715" s="1383"/>
      <c r="G715" s="1488">
        <v>4</v>
      </c>
      <c r="H715" s="1489"/>
      <c r="I715" s="1489"/>
      <c r="J715" s="1490"/>
      <c r="K715" s="1485">
        <f>K714</f>
        <v>692</v>
      </c>
      <c r="L715" s="1486"/>
      <c r="M715" s="1486"/>
      <c r="N715" s="1487"/>
      <c r="O715" s="1655">
        <f>1116-T715</f>
        <v>946</v>
      </c>
      <c r="P715" s="1656"/>
      <c r="Q715" s="1656"/>
      <c r="R715" s="1656"/>
      <c r="S715" s="1657"/>
      <c r="T715" s="1655">
        <f>T714</f>
        <v>170</v>
      </c>
      <c r="U715" s="1656"/>
      <c r="V715" s="1656"/>
      <c r="W715" s="1657"/>
      <c r="X715" s="1503">
        <f t="shared" si="49"/>
        <v>1116</v>
      </c>
      <c r="Y715" s="1504"/>
      <c r="Z715" s="1504"/>
      <c r="AA715" s="1504"/>
      <c r="AB715" s="1505"/>
      <c r="AC715" s="1687">
        <v>0.5</v>
      </c>
      <c r="AD715" s="1688"/>
      <c r="AE715" s="1688"/>
      <c r="AF715" s="1688"/>
      <c r="AG715" s="1689"/>
      <c r="AH715" s="1683">
        <f t="shared" si="50"/>
        <v>0.5</v>
      </c>
      <c r="AI715" s="1684"/>
      <c r="AJ715" s="1685"/>
      <c r="AK715" s="1470" t="s">
        <v>601</v>
      </c>
      <c r="AL715" s="1471"/>
      <c r="AM715" s="1471"/>
      <c r="AN715" s="1471"/>
      <c r="AO715" s="1472"/>
      <c r="AP715" s="3"/>
      <c r="AQ715" s="3"/>
      <c r="AR715" s="3"/>
      <c r="AS715" s="3"/>
      <c r="AY715" s="1131"/>
      <c r="AZ715" s="1131"/>
      <c r="BA715" s="1131"/>
      <c r="BB715" s="1131"/>
      <c r="BC715" s="1131"/>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1" t="s">
        <v>327</v>
      </c>
      <c r="C716" s="1382"/>
      <c r="D716" s="1382"/>
      <c r="E716" s="1382"/>
      <c r="F716" s="1383"/>
      <c r="G716" s="1488">
        <v>11</v>
      </c>
      <c r="H716" s="1489"/>
      <c r="I716" s="1489"/>
      <c r="J716" s="1490"/>
      <c r="K716" s="1485">
        <f>K715</f>
        <v>692</v>
      </c>
      <c r="L716" s="1486"/>
      <c r="M716" s="1486"/>
      <c r="N716" s="1487"/>
      <c r="O716" s="1655">
        <f>1340-T716</f>
        <v>1170</v>
      </c>
      <c r="P716" s="1656"/>
      <c r="Q716" s="1656"/>
      <c r="R716" s="1656"/>
      <c r="S716" s="1657"/>
      <c r="T716" s="1655">
        <f>T715</f>
        <v>170</v>
      </c>
      <c r="U716" s="1656"/>
      <c r="V716" s="1656"/>
      <c r="W716" s="1657"/>
      <c r="X716" s="1503">
        <f t="shared" si="49"/>
        <v>1340</v>
      </c>
      <c r="Y716" s="1504"/>
      <c r="Z716" s="1504"/>
      <c r="AA716" s="1504"/>
      <c r="AB716" s="1505"/>
      <c r="AC716" s="1687">
        <v>0.6</v>
      </c>
      <c r="AD716" s="1688"/>
      <c r="AE716" s="1688"/>
      <c r="AF716" s="1688"/>
      <c r="AG716" s="1689"/>
      <c r="AH716" s="1683">
        <f t="shared" si="50"/>
        <v>0.60035842293906805</v>
      </c>
      <c r="AI716" s="1684"/>
      <c r="AJ716" s="1685"/>
      <c r="AK716" s="1470" t="s">
        <v>601</v>
      </c>
      <c r="AL716" s="1471"/>
      <c r="AM716" s="1471"/>
      <c r="AN716" s="1471"/>
      <c r="AO716" s="1472"/>
      <c r="AP716" s="3"/>
      <c r="AQ716" s="3"/>
      <c r="AR716" s="3"/>
      <c r="AS716" s="3"/>
      <c r="AY716" s="1131"/>
      <c r="AZ716" s="1131"/>
      <c r="BA716" s="1131"/>
      <c r="BB716" s="1131"/>
      <c r="BC716" s="1131"/>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1" t="s">
        <v>327</v>
      </c>
      <c r="C717" s="1382"/>
      <c r="D717" s="1382"/>
      <c r="E717" s="1382"/>
      <c r="F717" s="1383"/>
      <c r="G717" s="1488">
        <v>19</v>
      </c>
      <c r="H717" s="1489"/>
      <c r="I717" s="1489"/>
      <c r="J717" s="1490"/>
      <c r="K717" s="1485">
        <f t="shared" ref="K717" si="51">K716</f>
        <v>692</v>
      </c>
      <c r="L717" s="1486"/>
      <c r="M717" s="1486"/>
      <c r="N717" s="1487"/>
      <c r="O717" s="1655">
        <f>1563-T717</f>
        <v>1393</v>
      </c>
      <c r="P717" s="1656"/>
      <c r="Q717" s="1656"/>
      <c r="R717" s="1656"/>
      <c r="S717" s="1657"/>
      <c r="T717" s="1655">
        <f>T716</f>
        <v>170</v>
      </c>
      <c r="U717" s="1656"/>
      <c r="V717" s="1656"/>
      <c r="W717" s="1657"/>
      <c r="X717" s="1503">
        <f t="shared" si="49"/>
        <v>1563</v>
      </c>
      <c r="Y717" s="1504"/>
      <c r="Z717" s="1504"/>
      <c r="AA717" s="1504"/>
      <c r="AB717" s="1505"/>
      <c r="AC717" s="1687">
        <v>0.7</v>
      </c>
      <c r="AD717" s="1688"/>
      <c r="AE717" s="1688"/>
      <c r="AF717" s="1688"/>
      <c r="AG717" s="1689"/>
      <c r="AH717" s="1683">
        <f t="shared" si="50"/>
        <v>0.70026881720430112</v>
      </c>
      <c r="AI717" s="1684"/>
      <c r="AJ717" s="1685"/>
      <c r="AK717" s="1470" t="s">
        <v>601</v>
      </c>
      <c r="AL717" s="1471"/>
      <c r="AM717" s="1471"/>
      <c r="AN717" s="1471"/>
      <c r="AO717" s="1472"/>
      <c r="AP717" s="3"/>
      <c r="AQ717" s="3"/>
      <c r="AR717" s="3"/>
      <c r="AS717" s="3"/>
      <c r="AY717" s="1131"/>
      <c r="AZ717" s="1131"/>
      <c r="BA717" s="1131"/>
      <c r="BB717" s="1131"/>
      <c r="BC717" s="1131"/>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1"/>
      <c r="C718" s="1382"/>
      <c r="D718" s="1382"/>
      <c r="E718" s="1382"/>
      <c r="F718" s="1383"/>
      <c r="G718" s="1488"/>
      <c r="H718" s="1489"/>
      <c r="I718" s="1489"/>
      <c r="J718" s="1490"/>
      <c r="K718" s="1485"/>
      <c r="L718" s="1486"/>
      <c r="M718" s="1486"/>
      <c r="N718" s="1487"/>
      <c r="O718" s="1655"/>
      <c r="P718" s="1656"/>
      <c r="Q718" s="1656"/>
      <c r="R718" s="1656"/>
      <c r="S718" s="1657"/>
      <c r="T718" s="1655"/>
      <c r="U718" s="1656"/>
      <c r="V718" s="1656"/>
      <c r="W718" s="1657"/>
      <c r="X718" s="1503">
        <f t="shared" si="49"/>
        <v>0</v>
      </c>
      <c r="Y718" s="1504"/>
      <c r="Z718" s="1504"/>
      <c r="AA718" s="1504"/>
      <c r="AB718" s="1505"/>
      <c r="AC718" s="1687"/>
      <c r="AD718" s="1688"/>
      <c r="AE718" s="1688"/>
      <c r="AF718" s="1688"/>
      <c r="AG718" s="1689"/>
      <c r="AH718" s="1683" t="str">
        <f t="shared" si="50"/>
        <v xml:space="preserve"> </v>
      </c>
      <c r="AI718" s="1684"/>
      <c r="AJ718" s="1685"/>
      <c r="AK718" s="1470" t="s">
        <v>601</v>
      </c>
      <c r="AL718" s="1471"/>
      <c r="AM718" s="1471"/>
      <c r="AN718" s="1471"/>
      <c r="AO718" s="1472"/>
      <c r="AP718" s="3"/>
      <c r="AQ718" s="3"/>
      <c r="AR718" s="3"/>
      <c r="AS718" s="3"/>
      <c r="AY718" s="1131"/>
      <c r="AZ718" s="1131"/>
      <c r="BA718" s="1131"/>
      <c r="BB718" s="1131"/>
      <c r="BC718" s="1131"/>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1" t="s">
        <v>164</v>
      </c>
      <c r="C719" s="1382"/>
      <c r="D719" s="1382"/>
      <c r="E719" s="1382"/>
      <c r="F719" s="1383"/>
      <c r="G719" s="1488">
        <v>7</v>
      </c>
      <c r="H719" s="1489"/>
      <c r="I719" s="1489"/>
      <c r="J719" s="1490"/>
      <c r="K719" s="1485">
        <v>917</v>
      </c>
      <c r="L719" s="1486"/>
      <c r="M719" s="1486"/>
      <c r="N719" s="1487"/>
      <c r="O719" s="1655">
        <f>804-T719</f>
        <v>598</v>
      </c>
      <c r="P719" s="1656"/>
      <c r="Q719" s="1656"/>
      <c r="R719" s="1656"/>
      <c r="S719" s="1657"/>
      <c r="T719" s="1655">
        <v>206</v>
      </c>
      <c r="U719" s="1656"/>
      <c r="V719" s="1656"/>
      <c r="W719" s="1657"/>
      <c r="X719" s="1503">
        <f t="shared" si="49"/>
        <v>804</v>
      </c>
      <c r="Y719" s="1504"/>
      <c r="Z719" s="1504"/>
      <c r="AA719" s="1504"/>
      <c r="AB719" s="1505"/>
      <c r="AC719" s="1687">
        <v>0.3</v>
      </c>
      <c r="AD719" s="1688"/>
      <c r="AE719" s="1688"/>
      <c r="AF719" s="1688"/>
      <c r="AG719" s="1689"/>
      <c r="AH719" s="1683">
        <f t="shared" si="50"/>
        <v>0.3</v>
      </c>
      <c r="AI719" s="1684"/>
      <c r="AJ719" s="1685"/>
      <c r="AK719" s="1470" t="s">
        <v>601</v>
      </c>
      <c r="AL719" s="1471"/>
      <c r="AM719" s="1471"/>
      <c r="AN719" s="1471"/>
      <c r="AO719" s="1472"/>
      <c r="AP719" s="3"/>
      <c r="AQ719" s="3"/>
      <c r="AR719" s="3"/>
      <c r="AS719" s="3"/>
      <c r="AY719" s="1131"/>
      <c r="AZ719" s="1131"/>
      <c r="BA719" s="1131"/>
      <c r="BB719" s="1131"/>
      <c r="BC719" s="1131"/>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1" t="s">
        <v>164</v>
      </c>
      <c r="C720" s="1382"/>
      <c r="D720" s="1382"/>
      <c r="E720" s="1382"/>
      <c r="F720" s="1383"/>
      <c r="G720" s="1488">
        <v>12</v>
      </c>
      <c r="H720" s="1489"/>
      <c r="I720" s="1489"/>
      <c r="J720" s="1490"/>
      <c r="K720" s="1485">
        <f>K719</f>
        <v>917</v>
      </c>
      <c r="L720" s="1486"/>
      <c r="M720" s="1486"/>
      <c r="N720" s="1487"/>
      <c r="O720" s="1655">
        <f>1340-T720</f>
        <v>1134</v>
      </c>
      <c r="P720" s="1656"/>
      <c r="Q720" s="1656"/>
      <c r="R720" s="1656"/>
      <c r="S720" s="1657"/>
      <c r="T720" s="1655">
        <f>T719</f>
        <v>206</v>
      </c>
      <c r="U720" s="1656"/>
      <c r="V720" s="1656"/>
      <c r="W720" s="1657"/>
      <c r="X720" s="1503">
        <f t="shared" si="49"/>
        <v>1340</v>
      </c>
      <c r="Y720" s="1504"/>
      <c r="Z720" s="1504"/>
      <c r="AA720" s="1504"/>
      <c r="AB720" s="1505"/>
      <c r="AC720" s="1687">
        <v>0.5</v>
      </c>
      <c r="AD720" s="1688"/>
      <c r="AE720" s="1688"/>
      <c r="AF720" s="1688"/>
      <c r="AG720" s="1689"/>
      <c r="AH720" s="1683">
        <f t="shared" si="50"/>
        <v>0.5</v>
      </c>
      <c r="AI720" s="1684"/>
      <c r="AJ720" s="1685"/>
      <c r="AK720" s="1470" t="s">
        <v>601</v>
      </c>
      <c r="AL720" s="1471"/>
      <c r="AM720" s="1471"/>
      <c r="AN720" s="1471"/>
      <c r="AO720" s="1472"/>
      <c r="AP720" s="3"/>
      <c r="AQ720" s="3"/>
      <c r="AR720" s="3"/>
      <c r="AS720" s="3"/>
      <c r="AY720" s="1131"/>
      <c r="AZ720" s="1131"/>
      <c r="BA720" s="1131"/>
      <c r="BB720" s="1131"/>
      <c r="BC720" s="1131"/>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1" t="s">
        <v>164</v>
      </c>
      <c r="C721" s="1382"/>
      <c r="D721" s="1382"/>
      <c r="E721" s="1382"/>
      <c r="F721" s="1383"/>
      <c r="G721" s="1488">
        <v>24</v>
      </c>
      <c r="H721" s="1489"/>
      <c r="I721" s="1489"/>
      <c r="J721" s="1490"/>
      <c r="K721" s="1485">
        <f t="shared" ref="K721:K722" si="52">K720</f>
        <v>917</v>
      </c>
      <c r="L721" s="1486"/>
      <c r="M721" s="1486"/>
      <c r="N721" s="1487"/>
      <c r="O721" s="1655">
        <f>1608-T721</f>
        <v>1402</v>
      </c>
      <c r="P721" s="1656"/>
      <c r="Q721" s="1656"/>
      <c r="R721" s="1656"/>
      <c r="S721" s="1657"/>
      <c r="T721" s="1655">
        <f>T720</f>
        <v>206</v>
      </c>
      <c r="U721" s="1656"/>
      <c r="V721" s="1656"/>
      <c r="W721" s="1657"/>
      <c r="X721" s="1503">
        <f t="shared" si="49"/>
        <v>1608</v>
      </c>
      <c r="Y721" s="1504"/>
      <c r="Z721" s="1504"/>
      <c r="AA721" s="1504"/>
      <c r="AB721" s="1505"/>
      <c r="AC721" s="1687">
        <v>0.6</v>
      </c>
      <c r="AD721" s="1688"/>
      <c r="AE721" s="1688"/>
      <c r="AF721" s="1688"/>
      <c r="AG721" s="1689"/>
      <c r="AH721" s="1683">
        <f t="shared" si="50"/>
        <v>0.6</v>
      </c>
      <c r="AI721" s="1684"/>
      <c r="AJ721" s="1685"/>
      <c r="AK721" s="1470" t="s">
        <v>601</v>
      </c>
      <c r="AL721" s="1471"/>
      <c r="AM721" s="1471"/>
      <c r="AN721" s="1471"/>
      <c r="AO721" s="1472"/>
      <c r="AP721" s="3"/>
      <c r="AQ721" s="3"/>
      <c r="AR721" s="3"/>
      <c r="AS721" s="3"/>
      <c r="AY721" s="1131"/>
      <c r="AZ721" s="1131"/>
      <c r="BA721" s="1131"/>
      <c r="BB721" s="1131"/>
      <c r="BC721" s="1131"/>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1" t="s">
        <v>164</v>
      </c>
      <c r="C722" s="1382"/>
      <c r="D722" s="1382"/>
      <c r="E722" s="1382"/>
      <c r="F722" s="1383"/>
      <c r="G722" s="1488">
        <v>34</v>
      </c>
      <c r="H722" s="1489"/>
      <c r="I722" s="1489"/>
      <c r="J722" s="1490"/>
      <c r="K722" s="1485">
        <f t="shared" si="52"/>
        <v>917</v>
      </c>
      <c r="L722" s="1486"/>
      <c r="M722" s="1486"/>
      <c r="N722" s="1487"/>
      <c r="O722" s="1655">
        <f>1876-T722</f>
        <v>1670</v>
      </c>
      <c r="P722" s="1656"/>
      <c r="Q722" s="1656"/>
      <c r="R722" s="1656"/>
      <c r="S722" s="1657"/>
      <c r="T722" s="1655">
        <f>T721</f>
        <v>206</v>
      </c>
      <c r="U722" s="1656"/>
      <c r="V722" s="1656"/>
      <c r="W722" s="1657"/>
      <c r="X722" s="1503">
        <f t="shared" si="49"/>
        <v>1876</v>
      </c>
      <c r="Y722" s="1504"/>
      <c r="Z722" s="1504"/>
      <c r="AA722" s="1504"/>
      <c r="AB722" s="1505"/>
      <c r="AC722" s="1687">
        <v>0.7</v>
      </c>
      <c r="AD722" s="1688"/>
      <c r="AE722" s="1688"/>
      <c r="AF722" s="1688"/>
      <c r="AG722" s="1689"/>
      <c r="AH722" s="1683">
        <f t="shared" si="50"/>
        <v>0.7</v>
      </c>
      <c r="AI722" s="1684"/>
      <c r="AJ722" s="1685"/>
      <c r="AK722" s="1470" t="s">
        <v>601</v>
      </c>
      <c r="AL722" s="1471"/>
      <c r="AM722" s="1471"/>
      <c r="AN722" s="1471"/>
      <c r="AO722" s="1472"/>
      <c r="AP722" s="3"/>
      <c r="AQ722" s="3"/>
      <c r="AR722" s="3"/>
      <c r="AS722" s="3"/>
      <c r="AY722" s="1131"/>
      <c r="AZ722" s="1131"/>
      <c r="BA722" s="1131"/>
      <c r="BB722" s="1131"/>
      <c r="BC722" s="1131"/>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1"/>
      <c r="C723" s="1382"/>
      <c r="D723" s="1382"/>
      <c r="E723" s="1382"/>
      <c r="F723" s="1383"/>
      <c r="G723" s="1488"/>
      <c r="H723" s="1489"/>
      <c r="I723" s="1489"/>
      <c r="J723" s="1490"/>
      <c r="K723" s="1485"/>
      <c r="L723" s="1486"/>
      <c r="M723" s="1486"/>
      <c r="N723" s="1487"/>
      <c r="O723" s="1655"/>
      <c r="P723" s="1656"/>
      <c r="Q723" s="1656"/>
      <c r="R723" s="1656"/>
      <c r="S723" s="1657"/>
      <c r="T723" s="1655"/>
      <c r="U723" s="1656"/>
      <c r="V723" s="1656"/>
      <c r="W723" s="1657"/>
      <c r="X723" s="1503">
        <f t="shared" si="49"/>
        <v>0</v>
      </c>
      <c r="Y723" s="1504"/>
      <c r="Z723" s="1504"/>
      <c r="AA723" s="1504"/>
      <c r="AB723" s="1505"/>
      <c r="AC723" s="1687"/>
      <c r="AD723" s="1688"/>
      <c r="AE723" s="1688"/>
      <c r="AF723" s="1688"/>
      <c r="AG723" s="1689"/>
      <c r="AH723" s="1683" t="str">
        <f t="shared" si="50"/>
        <v xml:space="preserve"> </v>
      </c>
      <c r="AI723" s="1684"/>
      <c r="AJ723" s="1685"/>
      <c r="AK723" s="1470" t="s">
        <v>601</v>
      </c>
      <c r="AL723" s="1471"/>
      <c r="AM723" s="1471"/>
      <c r="AN723" s="1471"/>
      <c r="AO723" s="1472"/>
      <c r="AP723" s="3"/>
      <c r="AQ723" s="3"/>
      <c r="AR723" s="3"/>
      <c r="AS723" s="3"/>
      <c r="AY723" s="1131"/>
      <c r="AZ723" s="1131"/>
      <c r="BA723" s="1131"/>
      <c r="BB723" s="1131"/>
      <c r="BC723" s="1131"/>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1" t="s">
        <v>165</v>
      </c>
      <c r="C724" s="1382"/>
      <c r="D724" s="1382"/>
      <c r="E724" s="1382"/>
      <c r="F724" s="1383"/>
      <c r="G724" s="1488">
        <v>7</v>
      </c>
      <c r="H724" s="1489"/>
      <c r="I724" s="1489"/>
      <c r="J724" s="1490"/>
      <c r="K724" s="1485">
        <v>1251</v>
      </c>
      <c r="L724" s="1486"/>
      <c r="M724" s="1486"/>
      <c r="N724" s="1487"/>
      <c r="O724" s="1655">
        <f>929-T724</f>
        <v>676</v>
      </c>
      <c r="P724" s="1656"/>
      <c r="Q724" s="1656"/>
      <c r="R724" s="1656"/>
      <c r="S724" s="1657"/>
      <c r="T724" s="1655">
        <v>253</v>
      </c>
      <c r="U724" s="1656"/>
      <c r="V724" s="1656"/>
      <c r="W724" s="1657"/>
      <c r="X724" s="1503">
        <f t="shared" si="49"/>
        <v>929</v>
      </c>
      <c r="Y724" s="1504"/>
      <c r="Z724" s="1504"/>
      <c r="AA724" s="1504"/>
      <c r="AB724" s="1505"/>
      <c r="AC724" s="1687">
        <v>0.3</v>
      </c>
      <c r="AD724" s="1688"/>
      <c r="AE724" s="1688"/>
      <c r="AF724" s="1688"/>
      <c r="AG724" s="1689"/>
      <c r="AH724" s="1683">
        <f t="shared" si="50"/>
        <v>0.30006459948320413</v>
      </c>
      <c r="AI724" s="1684"/>
      <c r="AJ724" s="1685"/>
      <c r="AK724" s="1470" t="s">
        <v>601</v>
      </c>
      <c r="AL724" s="1471"/>
      <c r="AM724" s="1471"/>
      <c r="AN724" s="1471"/>
      <c r="AO724" s="1472"/>
      <c r="AP724" s="3"/>
      <c r="AQ724" s="3"/>
      <c r="AR724" s="3"/>
      <c r="AS724" s="3"/>
      <c r="AY724" s="1131"/>
      <c r="AZ724" s="1131"/>
      <c r="BA724" s="1131"/>
      <c r="BB724" s="1131"/>
      <c r="BC724" s="1131"/>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1" t="s">
        <v>165</v>
      </c>
      <c r="C725" s="1382"/>
      <c r="D725" s="1382"/>
      <c r="E725" s="1382"/>
      <c r="F725" s="1383"/>
      <c r="G725" s="1488">
        <v>13</v>
      </c>
      <c r="H725" s="1489"/>
      <c r="I725" s="1489"/>
      <c r="J725" s="1490"/>
      <c r="K725" s="1485">
        <f>K724</f>
        <v>1251</v>
      </c>
      <c r="L725" s="1486"/>
      <c r="M725" s="1486"/>
      <c r="N725" s="1487"/>
      <c r="O725" s="1655">
        <f>1548-T725</f>
        <v>1295</v>
      </c>
      <c r="P725" s="1656"/>
      <c r="Q725" s="1656"/>
      <c r="R725" s="1656"/>
      <c r="S725" s="1657"/>
      <c r="T725" s="1655">
        <f>T724</f>
        <v>253</v>
      </c>
      <c r="U725" s="1656"/>
      <c r="V725" s="1656"/>
      <c r="W725" s="1657"/>
      <c r="X725" s="1503">
        <f t="shared" si="49"/>
        <v>1548</v>
      </c>
      <c r="Y725" s="1504"/>
      <c r="Z725" s="1504"/>
      <c r="AA725" s="1504"/>
      <c r="AB725" s="1505"/>
      <c r="AC725" s="1687">
        <v>0.5</v>
      </c>
      <c r="AD725" s="1688"/>
      <c r="AE725" s="1688"/>
      <c r="AF725" s="1688"/>
      <c r="AG725" s="1689"/>
      <c r="AH725" s="1683">
        <f t="shared" si="50"/>
        <v>0.5</v>
      </c>
      <c r="AI725" s="1684"/>
      <c r="AJ725" s="1685"/>
      <c r="AK725" s="1470" t="s">
        <v>601</v>
      </c>
      <c r="AL725" s="1471"/>
      <c r="AM725" s="1471"/>
      <c r="AN725" s="1471"/>
      <c r="AO725" s="1472"/>
      <c r="AP725" s="3"/>
      <c r="AQ725" s="3"/>
      <c r="AR725" s="3"/>
      <c r="AS725" s="3"/>
      <c r="AY725" s="1131"/>
      <c r="AZ725" s="1131"/>
      <c r="BA725" s="1131"/>
      <c r="BB725" s="1131"/>
      <c r="BC725" s="1131"/>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1" t="s">
        <v>165</v>
      </c>
      <c r="C726" s="1382"/>
      <c r="D726" s="1382"/>
      <c r="E726" s="1382"/>
      <c r="F726" s="1383"/>
      <c r="G726" s="1488">
        <v>24</v>
      </c>
      <c r="H726" s="1489"/>
      <c r="I726" s="1489"/>
      <c r="J726" s="1490"/>
      <c r="K726" s="1485">
        <f>K725</f>
        <v>1251</v>
      </c>
      <c r="L726" s="1486"/>
      <c r="M726" s="1486"/>
      <c r="N726" s="1487"/>
      <c r="O726" s="1655">
        <f>1858-T726</f>
        <v>1605</v>
      </c>
      <c r="P726" s="1656"/>
      <c r="Q726" s="1656"/>
      <c r="R726" s="1656"/>
      <c r="S726" s="1657"/>
      <c r="T726" s="1655">
        <f>T725</f>
        <v>253</v>
      </c>
      <c r="U726" s="1656"/>
      <c r="V726" s="1656"/>
      <c r="W726" s="1657"/>
      <c r="X726" s="1503">
        <f t="shared" si="49"/>
        <v>1858</v>
      </c>
      <c r="Y726" s="1504"/>
      <c r="Z726" s="1504"/>
      <c r="AA726" s="1504"/>
      <c r="AB726" s="1505"/>
      <c r="AC726" s="1687">
        <v>0.6</v>
      </c>
      <c r="AD726" s="1688"/>
      <c r="AE726" s="1688"/>
      <c r="AF726" s="1688"/>
      <c r="AG726" s="1689"/>
      <c r="AH726" s="1683">
        <f t="shared" si="50"/>
        <v>0.60012919896640826</v>
      </c>
      <c r="AI726" s="1684"/>
      <c r="AJ726" s="1685"/>
      <c r="AK726" s="1470" t="s">
        <v>601</v>
      </c>
      <c r="AL726" s="1471"/>
      <c r="AM726" s="1471"/>
      <c r="AN726" s="1471"/>
      <c r="AO726" s="1472"/>
      <c r="AP726" s="3"/>
      <c r="AQ726" s="3"/>
      <c r="AR726" s="3"/>
      <c r="AS726" s="3"/>
      <c r="AY726" s="1131"/>
      <c r="AZ726" s="1131"/>
      <c r="BA726" s="1131"/>
      <c r="BB726" s="1131"/>
      <c r="BC726" s="1131"/>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1" t="s">
        <v>165</v>
      </c>
      <c r="C727" s="1382"/>
      <c r="D727" s="1382"/>
      <c r="E727" s="1382"/>
      <c r="F727" s="1383"/>
      <c r="G727" s="1488">
        <v>34</v>
      </c>
      <c r="H727" s="1489"/>
      <c r="I727" s="1489"/>
      <c r="J727" s="1490"/>
      <c r="K727" s="1485">
        <f>K726</f>
        <v>1251</v>
      </c>
      <c r="L727" s="1486"/>
      <c r="M727" s="1486"/>
      <c r="N727" s="1487"/>
      <c r="O727" s="1655">
        <f>2168-T727</f>
        <v>1915</v>
      </c>
      <c r="P727" s="1656"/>
      <c r="Q727" s="1656"/>
      <c r="R727" s="1656"/>
      <c r="S727" s="1657"/>
      <c r="T727" s="1655">
        <f>T726</f>
        <v>253</v>
      </c>
      <c r="U727" s="1656"/>
      <c r="V727" s="1656"/>
      <c r="W727" s="1657"/>
      <c r="X727" s="1503">
        <f t="shared" si="49"/>
        <v>2168</v>
      </c>
      <c r="Y727" s="1504"/>
      <c r="Z727" s="1504"/>
      <c r="AA727" s="1504"/>
      <c r="AB727" s="1505"/>
      <c r="AC727" s="1687">
        <v>0.7</v>
      </c>
      <c r="AD727" s="1688"/>
      <c r="AE727" s="1688"/>
      <c r="AF727" s="1688"/>
      <c r="AG727" s="1689"/>
      <c r="AH727" s="1683">
        <f t="shared" si="50"/>
        <v>0.70025839793281652</v>
      </c>
      <c r="AI727" s="1684"/>
      <c r="AJ727" s="1685"/>
      <c r="AK727" s="1470" t="s">
        <v>601</v>
      </c>
      <c r="AL727" s="1471"/>
      <c r="AM727" s="1471"/>
      <c r="AN727" s="1471"/>
      <c r="AO727" s="1472"/>
      <c r="AP727" s="3"/>
      <c r="AQ727" s="3"/>
      <c r="AR727" s="3"/>
      <c r="AS727" s="3"/>
      <c r="AY727" s="1131"/>
      <c r="AZ727" s="1131"/>
      <c r="BA727" s="1131"/>
      <c r="BB727" s="1131"/>
      <c r="BC727" s="1131"/>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470"/>
      <c r="C728" s="1471"/>
      <c r="D728" s="1471"/>
      <c r="E728" s="1471"/>
      <c r="F728" s="1472"/>
      <c r="G728" s="1500"/>
      <c r="H728" s="1501"/>
      <c r="I728" s="1501"/>
      <c r="J728" s="1502"/>
      <c r="K728" s="1485"/>
      <c r="L728" s="1486"/>
      <c r="M728" s="1486"/>
      <c r="N728" s="1487"/>
      <c r="O728" s="1478"/>
      <c r="P728" s="1479"/>
      <c r="Q728" s="1479"/>
      <c r="R728" s="1479"/>
      <c r="S728" s="1480"/>
      <c r="T728" s="1478"/>
      <c r="U728" s="1479"/>
      <c r="V728" s="1479"/>
      <c r="W728" s="1480"/>
      <c r="X728" s="1503">
        <f t="shared" si="49"/>
        <v>0</v>
      </c>
      <c r="Y728" s="1504"/>
      <c r="Z728" s="1504"/>
      <c r="AA728" s="1504"/>
      <c r="AB728" s="1505"/>
      <c r="AC728" s="1481">
        <v>0</v>
      </c>
      <c r="AD728" s="1482"/>
      <c r="AE728" s="1482"/>
      <c r="AF728" s="1482"/>
      <c r="AG728" s="1483"/>
      <c r="AH728" s="1696" t="str">
        <f t="shared" si="50"/>
        <v xml:space="preserve"> </v>
      </c>
      <c r="AI728" s="1697"/>
      <c r="AJ728" s="1698"/>
      <c r="AK728" s="1470" t="s">
        <v>601</v>
      </c>
      <c r="AL728" s="1471"/>
      <c r="AM728" s="1471"/>
      <c r="AN728" s="1471"/>
      <c r="AO728" s="1472"/>
      <c r="AP728" s="3"/>
      <c r="AQ728" s="3"/>
      <c r="AR728" s="3"/>
      <c r="AS728" s="3"/>
      <c r="AY728" s="1131"/>
      <c r="AZ728" s="1131"/>
      <c r="BA728" s="1131"/>
      <c r="BB728" s="1131"/>
      <c r="BC728" s="1131"/>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470"/>
      <c r="C729" s="1471"/>
      <c r="D729" s="1471"/>
      <c r="E729" s="1471"/>
      <c r="F729" s="1472"/>
      <c r="G729" s="1500"/>
      <c r="H729" s="1501"/>
      <c r="I729" s="1501"/>
      <c r="J729" s="1502"/>
      <c r="K729" s="1485"/>
      <c r="L729" s="1486"/>
      <c r="M729" s="1486"/>
      <c r="N729" s="1487"/>
      <c r="O729" s="1478"/>
      <c r="P729" s="1479"/>
      <c r="Q729" s="1479"/>
      <c r="R729" s="1479"/>
      <c r="S729" s="1480"/>
      <c r="T729" s="1478"/>
      <c r="U729" s="1479"/>
      <c r="V729" s="1479"/>
      <c r="W729" s="1480"/>
      <c r="X729" s="1503">
        <f t="shared" si="49"/>
        <v>0</v>
      </c>
      <c r="Y729" s="1504"/>
      <c r="Z729" s="1504"/>
      <c r="AA729" s="1504"/>
      <c r="AB729" s="1505"/>
      <c r="AC729" s="1481">
        <v>0</v>
      </c>
      <c r="AD729" s="1482"/>
      <c r="AE729" s="1482"/>
      <c r="AF729" s="1482"/>
      <c r="AG729" s="1483"/>
      <c r="AH729" s="1696" t="str">
        <f t="shared" si="50"/>
        <v xml:space="preserve"> </v>
      </c>
      <c r="AI729" s="1697"/>
      <c r="AJ729" s="1698"/>
      <c r="AK729" s="1470" t="s">
        <v>601</v>
      </c>
      <c r="AL729" s="1471"/>
      <c r="AM729" s="1471"/>
      <c r="AN729" s="1471"/>
      <c r="AO729" s="1472"/>
      <c r="AP729" s="3"/>
      <c r="AQ729" s="3"/>
      <c r="AR729" s="3"/>
      <c r="AS729" s="3"/>
      <c r="AY729" s="1131"/>
      <c r="AZ729" s="1131"/>
      <c r="BA729" s="1131"/>
      <c r="BB729" s="1131"/>
      <c r="BC729" s="1131"/>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470"/>
      <c r="C730" s="1471"/>
      <c r="D730" s="1471"/>
      <c r="E730" s="1471"/>
      <c r="F730" s="1472"/>
      <c r="G730" s="1500"/>
      <c r="H730" s="1501"/>
      <c r="I730" s="1501"/>
      <c r="J730" s="1502"/>
      <c r="K730" s="1485"/>
      <c r="L730" s="1486"/>
      <c r="M730" s="1486"/>
      <c r="N730" s="1487"/>
      <c r="O730" s="1478"/>
      <c r="P730" s="1479"/>
      <c r="Q730" s="1479"/>
      <c r="R730" s="1479"/>
      <c r="S730" s="1480"/>
      <c r="T730" s="1478"/>
      <c r="U730" s="1479"/>
      <c r="V730" s="1479"/>
      <c r="W730" s="1480"/>
      <c r="X730" s="1503">
        <f t="shared" si="49"/>
        <v>0</v>
      </c>
      <c r="Y730" s="1504"/>
      <c r="Z730" s="1504"/>
      <c r="AA730" s="1504"/>
      <c r="AB730" s="1505"/>
      <c r="AC730" s="1481">
        <v>0</v>
      </c>
      <c r="AD730" s="1482"/>
      <c r="AE730" s="1482"/>
      <c r="AF730" s="1482"/>
      <c r="AG730" s="1483"/>
      <c r="AH730" s="1696" t="str">
        <f t="shared" si="50"/>
        <v xml:space="preserve"> </v>
      </c>
      <c r="AI730" s="1697"/>
      <c r="AJ730" s="1698"/>
      <c r="AK730" s="1470" t="s">
        <v>601</v>
      </c>
      <c r="AL730" s="1471"/>
      <c r="AM730" s="1471"/>
      <c r="AN730" s="1471"/>
      <c r="AO730" s="1472"/>
      <c r="AP730" s="3"/>
      <c r="AQ730" s="3"/>
      <c r="AR730" s="3"/>
      <c r="AS730" s="3"/>
      <c r="AY730" s="1131"/>
      <c r="AZ730" s="1131"/>
      <c r="BA730" s="1131"/>
      <c r="BB730" s="1131"/>
      <c r="BC730" s="1131"/>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470"/>
      <c r="C731" s="1471"/>
      <c r="D731" s="1471"/>
      <c r="E731" s="1471"/>
      <c r="F731" s="1472"/>
      <c r="G731" s="1500"/>
      <c r="H731" s="1501"/>
      <c r="I731" s="1501"/>
      <c r="J731" s="1502"/>
      <c r="K731" s="1485"/>
      <c r="L731" s="1486"/>
      <c r="M731" s="1486"/>
      <c r="N731" s="1487"/>
      <c r="O731" s="1478"/>
      <c r="P731" s="1479"/>
      <c r="Q731" s="1479"/>
      <c r="R731" s="1479"/>
      <c r="S731" s="1480"/>
      <c r="T731" s="1478"/>
      <c r="U731" s="1479"/>
      <c r="V731" s="1479"/>
      <c r="W731" s="1480"/>
      <c r="X731" s="1503">
        <f t="shared" si="49"/>
        <v>0</v>
      </c>
      <c r="Y731" s="1504"/>
      <c r="Z731" s="1504"/>
      <c r="AA731" s="1504"/>
      <c r="AB731" s="1505"/>
      <c r="AC731" s="1481">
        <v>0</v>
      </c>
      <c r="AD731" s="1482"/>
      <c r="AE731" s="1482"/>
      <c r="AF731" s="1482"/>
      <c r="AG731" s="1483"/>
      <c r="AH731" s="1696" t="str">
        <f t="shared" si="50"/>
        <v xml:space="preserve"> </v>
      </c>
      <c r="AI731" s="1697"/>
      <c r="AJ731" s="1698"/>
      <c r="AK731" s="1470" t="s">
        <v>601</v>
      </c>
      <c r="AL731" s="1471"/>
      <c r="AM731" s="1471"/>
      <c r="AN731" s="1471"/>
      <c r="AO731" s="1472"/>
      <c r="AP731" s="3"/>
      <c r="AQ731" s="3"/>
      <c r="AR731" s="3"/>
      <c r="AS731" s="3"/>
      <c r="AY731" s="1131"/>
      <c r="AZ731" s="1131"/>
      <c r="BA731" s="1131"/>
      <c r="BB731" s="1131"/>
      <c r="BC731" s="1131"/>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470"/>
      <c r="C732" s="1471"/>
      <c r="D732" s="1471"/>
      <c r="E732" s="1471"/>
      <c r="F732" s="1472"/>
      <c r="G732" s="1500"/>
      <c r="H732" s="1501"/>
      <c r="I732" s="1501"/>
      <c r="J732" s="1502"/>
      <c r="K732" s="1485"/>
      <c r="L732" s="1486"/>
      <c r="M732" s="1486"/>
      <c r="N732" s="1487"/>
      <c r="O732" s="1478"/>
      <c r="P732" s="1479"/>
      <c r="Q732" s="1479"/>
      <c r="R732" s="1479"/>
      <c r="S732" s="1480"/>
      <c r="T732" s="1478"/>
      <c r="U732" s="1479"/>
      <c r="V732" s="1479"/>
      <c r="W732" s="1480"/>
      <c r="X732" s="1503">
        <f t="shared" si="49"/>
        <v>0</v>
      </c>
      <c r="Y732" s="1504"/>
      <c r="Z732" s="1504"/>
      <c r="AA732" s="1504"/>
      <c r="AB732" s="1505"/>
      <c r="AC732" s="1481">
        <v>0</v>
      </c>
      <c r="AD732" s="1482"/>
      <c r="AE732" s="1482"/>
      <c r="AF732" s="1482"/>
      <c r="AG732" s="1483"/>
      <c r="AH732" s="1696" t="str">
        <f t="shared" si="50"/>
        <v xml:space="preserve"> </v>
      </c>
      <c r="AI732" s="1697"/>
      <c r="AJ732" s="1698"/>
      <c r="AK732" s="1470" t="s">
        <v>601</v>
      </c>
      <c r="AL732" s="1471"/>
      <c r="AM732" s="1471"/>
      <c r="AN732" s="1471"/>
      <c r="AO732" s="1472"/>
      <c r="AP732" s="3"/>
      <c r="AQ732" s="3"/>
      <c r="AR732" s="3"/>
      <c r="AS732" s="3"/>
      <c r="AY732" s="1131"/>
      <c r="AZ732" s="1131"/>
      <c r="BA732" s="1131"/>
      <c r="BB732" s="1131"/>
      <c r="BC732" s="1131"/>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470"/>
      <c r="C733" s="1471"/>
      <c r="D733" s="1471"/>
      <c r="E733" s="1471"/>
      <c r="F733" s="1472"/>
      <c r="G733" s="1500"/>
      <c r="H733" s="1501"/>
      <c r="I733" s="1501"/>
      <c r="J733" s="1502"/>
      <c r="K733" s="1485"/>
      <c r="L733" s="1486"/>
      <c r="M733" s="1486"/>
      <c r="N733" s="1487"/>
      <c r="O733" s="1478"/>
      <c r="P733" s="1479"/>
      <c r="Q733" s="1479"/>
      <c r="R733" s="1479"/>
      <c r="S733" s="1480"/>
      <c r="T733" s="1478"/>
      <c r="U733" s="1479"/>
      <c r="V733" s="1479"/>
      <c r="W733" s="1480"/>
      <c r="X733" s="1503">
        <f t="shared" si="49"/>
        <v>0</v>
      </c>
      <c r="Y733" s="1504"/>
      <c r="Z733" s="1504"/>
      <c r="AA733" s="1504"/>
      <c r="AB733" s="1505"/>
      <c r="AC733" s="1481">
        <v>0</v>
      </c>
      <c r="AD733" s="1482"/>
      <c r="AE733" s="1482"/>
      <c r="AF733" s="1482"/>
      <c r="AG733" s="1483"/>
      <c r="AH733" s="1696" t="str">
        <f t="shared" si="50"/>
        <v xml:space="preserve"> </v>
      </c>
      <c r="AI733" s="1697"/>
      <c r="AJ733" s="1698"/>
      <c r="AK733" s="1470" t="s">
        <v>601</v>
      </c>
      <c r="AL733" s="1471"/>
      <c r="AM733" s="1471"/>
      <c r="AN733" s="1471"/>
      <c r="AO733" s="1472"/>
      <c r="AP733" s="3"/>
      <c r="AQ733" s="3"/>
      <c r="AR733" s="3"/>
      <c r="AS733" s="3"/>
      <c r="AY733" s="1131"/>
      <c r="AZ733" s="1131"/>
      <c r="BA733" s="1131"/>
      <c r="BB733" s="1131"/>
      <c r="BC733" s="1131"/>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470"/>
      <c r="C734" s="1471"/>
      <c r="D734" s="1471"/>
      <c r="E734" s="1471"/>
      <c r="F734" s="1472"/>
      <c r="G734" s="1500"/>
      <c r="H734" s="1501"/>
      <c r="I734" s="1501"/>
      <c r="J734" s="1502"/>
      <c r="K734" s="1485"/>
      <c r="L734" s="1486"/>
      <c r="M734" s="1486"/>
      <c r="N734" s="1487"/>
      <c r="O734" s="1478"/>
      <c r="P734" s="1479"/>
      <c r="Q734" s="1479"/>
      <c r="R734" s="1479"/>
      <c r="S734" s="1480"/>
      <c r="T734" s="1478"/>
      <c r="U734" s="1479"/>
      <c r="V734" s="1479"/>
      <c r="W734" s="1480"/>
      <c r="X734" s="1503">
        <f t="shared" si="49"/>
        <v>0</v>
      </c>
      <c r="Y734" s="1504"/>
      <c r="Z734" s="1504"/>
      <c r="AA734" s="1504"/>
      <c r="AB734" s="1505"/>
      <c r="AC734" s="1481">
        <v>0</v>
      </c>
      <c r="AD734" s="1482"/>
      <c r="AE734" s="1482"/>
      <c r="AF734" s="1482"/>
      <c r="AG734" s="1483"/>
      <c r="AH734" s="1696" t="str">
        <f t="shared" si="50"/>
        <v xml:space="preserve"> </v>
      </c>
      <c r="AI734" s="1697"/>
      <c r="AJ734" s="1698"/>
      <c r="AK734" s="1470" t="s">
        <v>601</v>
      </c>
      <c r="AL734" s="1471"/>
      <c r="AM734" s="1471"/>
      <c r="AN734" s="1471"/>
      <c r="AO734" s="1472"/>
      <c r="AP734" s="3"/>
      <c r="AQ734" s="3"/>
      <c r="AR734" s="3"/>
      <c r="AS734" s="3"/>
      <c r="AY734" s="1131"/>
      <c r="AZ734" s="1131"/>
      <c r="BA734" s="1131"/>
      <c r="BB734" s="1131"/>
      <c r="BC734" s="1131"/>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470"/>
      <c r="C735" s="1471"/>
      <c r="D735" s="1471"/>
      <c r="E735" s="1471"/>
      <c r="F735" s="1472"/>
      <c r="G735" s="1500"/>
      <c r="H735" s="1501"/>
      <c r="I735" s="1501"/>
      <c r="J735" s="1502"/>
      <c r="K735" s="1485"/>
      <c r="L735" s="1486"/>
      <c r="M735" s="1486"/>
      <c r="N735" s="1487"/>
      <c r="O735" s="1478"/>
      <c r="P735" s="1479"/>
      <c r="Q735" s="1479"/>
      <c r="R735" s="1479"/>
      <c r="S735" s="1480"/>
      <c r="T735" s="1478"/>
      <c r="U735" s="1479"/>
      <c r="V735" s="1479"/>
      <c r="W735" s="1480"/>
      <c r="X735" s="1503">
        <f t="shared" si="49"/>
        <v>0</v>
      </c>
      <c r="Y735" s="1504"/>
      <c r="Z735" s="1504"/>
      <c r="AA735" s="1504"/>
      <c r="AB735" s="1505"/>
      <c r="AC735" s="1481">
        <v>0</v>
      </c>
      <c r="AD735" s="1482"/>
      <c r="AE735" s="1482"/>
      <c r="AF735" s="1482"/>
      <c r="AG735" s="1483"/>
      <c r="AH735" s="1696" t="str">
        <f t="shared" si="50"/>
        <v xml:space="preserve"> </v>
      </c>
      <c r="AI735" s="1697"/>
      <c r="AJ735" s="1698"/>
      <c r="AK735" s="1470" t="s">
        <v>601</v>
      </c>
      <c r="AL735" s="1471"/>
      <c r="AM735" s="1471"/>
      <c r="AN735" s="1471"/>
      <c r="AO735" s="1472"/>
      <c r="AP735" s="3"/>
      <c r="AQ735" s="3"/>
      <c r="AR735" s="3"/>
      <c r="AS735" s="3"/>
      <c r="AY735" s="1131"/>
      <c r="AZ735" s="1131"/>
      <c r="BA735" s="1131"/>
      <c r="BB735" s="1131"/>
      <c r="BC735" s="1131"/>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470"/>
      <c r="C736" s="1471"/>
      <c r="D736" s="1471"/>
      <c r="E736" s="1471"/>
      <c r="F736" s="1472"/>
      <c r="G736" s="1500"/>
      <c r="H736" s="1501"/>
      <c r="I736" s="1501"/>
      <c r="J736" s="1502"/>
      <c r="K736" s="1485"/>
      <c r="L736" s="1486"/>
      <c r="M736" s="1486"/>
      <c r="N736" s="1487"/>
      <c r="O736" s="1478"/>
      <c r="P736" s="1479"/>
      <c r="Q736" s="1479"/>
      <c r="R736" s="1479"/>
      <c r="S736" s="1480"/>
      <c r="T736" s="1478"/>
      <c r="U736" s="1479"/>
      <c r="V736" s="1479"/>
      <c r="W736" s="1480"/>
      <c r="X736" s="1503">
        <f t="shared" si="49"/>
        <v>0</v>
      </c>
      <c r="Y736" s="1504"/>
      <c r="Z736" s="1504"/>
      <c r="AA736" s="1504"/>
      <c r="AB736" s="1505"/>
      <c r="AC736" s="1481">
        <v>0</v>
      </c>
      <c r="AD736" s="1482"/>
      <c r="AE736" s="1482"/>
      <c r="AF736" s="1482"/>
      <c r="AG736" s="1483"/>
      <c r="AH736" s="1696" t="str">
        <f t="shared" si="50"/>
        <v xml:space="preserve"> </v>
      </c>
      <c r="AI736" s="1697"/>
      <c r="AJ736" s="1698"/>
      <c r="AK736" s="1470" t="s">
        <v>601</v>
      </c>
      <c r="AL736" s="1471"/>
      <c r="AM736" s="1471"/>
      <c r="AN736" s="1471"/>
      <c r="AO736" s="1472"/>
      <c r="AP736" s="3"/>
      <c r="AQ736" s="3"/>
      <c r="AR736" s="3"/>
      <c r="AS736" s="3"/>
      <c r="AY736" s="1131"/>
      <c r="AZ736" s="1131"/>
      <c r="BA736" s="1131"/>
      <c r="BB736" s="1131"/>
      <c r="BC736" s="1131"/>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470"/>
      <c r="C737" s="1471"/>
      <c r="D737" s="1471"/>
      <c r="E737" s="1471"/>
      <c r="F737" s="1472"/>
      <c r="G737" s="1500"/>
      <c r="H737" s="1501"/>
      <c r="I737" s="1501"/>
      <c r="J737" s="1502"/>
      <c r="K737" s="1485"/>
      <c r="L737" s="1486"/>
      <c r="M737" s="1486"/>
      <c r="N737" s="1487"/>
      <c r="O737" s="1478"/>
      <c r="P737" s="1479"/>
      <c r="Q737" s="1479"/>
      <c r="R737" s="1479"/>
      <c r="S737" s="1480"/>
      <c r="T737" s="1478"/>
      <c r="U737" s="1479"/>
      <c r="V737" s="1479"/>
      <c r="W737" s="1480"/>
      <c r="X737" s="1503">
        <f t="shared" si="49"/>
        <v>0</v>
      </c>
      <c r="Y737" s="1504"/>
      <c r="Z737" s="1504"/>
      <c r="AA737" s="1504"/>
      <c r="AB737" s="1505"/>
      <c r="AC737" s="1481">
        <v>0</v>
      </c>
      <c r="AD737" s="1482"/>
      <c r="AE737" s="1482"/>
      <c r="AF737" s="1482"/>
      <c r="AG737" s="1483"/>
      <c r="AH737" s="1696" t="str">
        <f t="shared" si="50"/>
        <v xml:space="preserve"> </v>
      </c>
      <c r="AI737" s="1697"/>
      <c r="AJ737" s="1698"/>
      <c r="AK737" s="1470" t="s">
        <v>601</v>
      </c>
      <c r="AL737" s="1471"/>
      <c r="AM737" s="1471"/>
      <c r="AN737" s="1471"/>
      <c r="AO737" s="1472"/>
      <c r="AP737" s="3"/>
      <c r="AQ737" s="3"/>
      <c r="AR737" s="3"/>
      <c r="AS737" s="3"/>
      <c r="AY737" s="1131"/>
      <c r="AZ737" s="1131"/>
      <c r="BA737" s="1131"/>
      <c r="BB737" s="1131"/>
      <c r="BC737" s="1131"/>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470"/>
      <c r="C738" s="1471"/>
      <c r="D738" s="1471"/>
      <c r="E738" s="1471"/>
      <c r="F738" s="1472"/>
      <c r="G738" s="1500"/>
      <c r="H738" s="1501"/>
      <c r="I738" s="1501"/>
      <c r="J738" s="1502"/>
      <c r="K738" s="1485"/>
      <c r="L738" s="1486"/>
      <c r="M738" s="1486"/>
      <c r="N738" s="1487"/>
      <c r="O738" s="1478"/>
      <c r="P738" s="1479"/>
      <c r="Q738" s="1479"/>
      <c r="R738" s="1479"/>
      <c r="S738" s="1480"/>
      <c r="T738" s="1478"/>
      <c r="U738" s="1479"/>
      <c r="V738" s="1479"/>
      <c r="W738" s="1480"/>
      <c r="X738" s="1503">
        <f t="shared" si="49"/>
        <v>0</v>
      </c>
      <c r="Y738" s="1504"/>
      <c r="Z738" s="1504"/>
      <c r="AA738" s="1504"/>
      <c r="AB738" s="1505"/>
      <c r="AC738" s="1481">
        <v>0</v>
      </c>
      <c r="AD738" s="1482"/>
      <c r="AE738" s="1482"/>
      <c r="AF738" s="1482"/>
      <c r="AG738" s="1483"/>
      <c r="AH738" s="1696" t="str">
        <f t="shared" si="50"/>
        <v xml:space="preserve"> </v>
      </c>
      <c r="AI738" s="1697"/>
      <c r="AJ738" s="1698"/>
      <c r="AK738" s="1470" t="s">
        <v>601</v>
      </c>
      <c r="AL738" s="1471"/>
      <c r="AM738" s="1471"/>
      <c r="AN738" s="1471"/>
      <c r="AO738" s="1472"/>
      <c r="AP738" s="3"/>
      <c r="AQ738" s="3"/>
      <c r="AR738" s="3"/>
      <c r="AS738" s="3"/>
      <c r="AY738" s="1131"/>
      <c r="AZ738" s="1131"/>
      <c r="BA738" s="1131"/>
      <c r="BB738" s="1131"/>
      <c r="BC738" s="1131"/>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5" t="s">
        <v>126</v>
      </c>
      <c r="C739" s="1526"/>
      <c r="D739" s="1526"/>
      <c r="E739" s="1526"/>
      <c r="F739" s="1528"/>
      <c r="G739" s="1762">
        <f>SUM(G714:J738)</f>
        <v>195</v>
      </c>
      <c r="H739" s="1763"/>
      <c r="I739" s="1763"/>
      <c r="J739" s="1764"/>
      <c r="K739" s="936" t="s">
        <v>125</v>
      </c>
      <c r="L739" s="5"/>
      <c r="M739" s="5"/>
      <c r="N739" s="46"/>
      <c r="O739" s="1503">
        <f>SUMPRODUCT(G714:G738,O714:O738)</f>
        <v>279540</v>
      </c>
      <c r="P739" s="1504"/>
      <c r="Q739" s="1504"/>
      <c r="R739" s="1504"/>
      <c r="S739" s="1505"/>
      <c r="X739" s="938" t="s">
        <v>934</v>
      </c>
      <c r="Y739" s="937"/>
      <c r="Z739" s="937"/>
      <c r="AA739" s="937"/>
      <c r="AB739" s="939"/>
      <c r="AC739" s="1699">
        <f>BI682</f>
        <v>0.59897435897435891</v>
      </c>
      <c r="AD739" s="1700"/>
      <c r="AE739" s="1700"/>
      <c r="AF739" s="1700"/>
      <c r="AG739" s="1701"/>
      <c r="AH739" s="1699">
        <f>BI714</f>
        <v>0.5990895587144649</v>
      </c>
      <c r="AI739" s="1700"/>
      <c r="AJ739" s="1701"/>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06" t="s">
        <v>2259</v>
      </c>
      <c r="C740" s="1506"/>
      <c r="D740" s="1506"/>
      <c r="E740" s="1506"/>
      <c r="F740" s="1506"/>
      <c r="G740" s="1506"/>
      <c r="H740" s="1506"/>
      <c r="I740" s="1506"/>
      <c r="J740" s="1506"/>
      <c r="K740" s="1506"/>
      <c r="L740" s="1506"/>
      <c r="M740" s="1506"/>
      <c r="N740" s="1506"/>
      <c r="O740" s="1506"/>
      <c r="P740" s="1506"/>
      <c r="Q740" s="1506"/>
      <c r="R740" s="1506"/>
      <c r="S740" s="1506"/>
      <c r="T740" s="1506"/>
      <c r="U740" s="1506"/>
      <c r="V740" s="1506"/>
      <c r="W740" s="1506"/>
      <c r="X740" s="1506"/>
      <c r="Y740" s="1506"/>
      <c r="Z740" s="1506"/>
      <c r="AA740" s="1506"/>
      <c r="AB740" s="1506"/>
      <c r="AC740" s="1506"/>
      <c r="AD740" s="1506"/>
      <c r="AE740" s="1506"/>
      <c r="AF740" s="1506"/>
      <c r="AG740" s="1506"/>
      <c r="AH740" s="150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06"/>
      <c r="C741" s="1506"/>
      <c r="D741" s="1506"/>
      <c r="E741" s="1506"/>
      <c r="F741" s="1506"/>
      <c r="G741" s="1506"/>
      <c r="H741" s="1506"/>
      <c r="I741" s="1506"/>
      <c r="J741" s="1506"/>
      <c r="K741" s="1506"/>
      <c r="L741" s="1506"/>
      <c r="M741" s="1506"/>
      <c r="N741" s="1506"/>
      <c r="O741" s="1506"/>
      <c r="P741" s="1506"/>
      <c r="Q741" s="1506"/>
      <c r="R741" s="1506"/>
      <c r="S741" s="1506"/>
      <c r="T741" s="1506"/>
      <c r="U741" s="1506"/>
      <c r="V741" s="1506"/>
      <c r="W741" s="1506"/>
      <c r="X741" s="1506"/>
      <c r="Y741" s="1506"/>
      <c r="Z741" s="1506"/>
      <c r="AA741" s="1506"/>
      <c r="AB741" s="1506"/>
      <c r="AC741" s="1506"/>
      <c r="AD741" s="1506"/>
      <c r="AE741" s="1506"/>
      <c r="AF741" s="1506"/>
      <c r="AG741" s="1506"/>
      <c r="AH741" s="150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3"/>
      <c r="E742" s="1073"/>
      <c r="F742" s="1073"/>
      <c r="G742" s="1074"/>
      <c r="H742" s="1074"/>
      <c r="I742" s="1074"/>
      <c r="J742" s="1074"/>
      <c r="K742" s="1073"/>
      <c r="L742" s="1073"/>
      <c r="M742" s="1073"/>
      <c r="N742" s="1073"/>
      <c r="O742" s="1702">
        <f>CS623</f>
        <v>428</v>
      </c>
      <c r="P742" s="1702"/>
      <c r="Q742" s="1702"/>
      <c r="R742" s="1702"/>
      <c r="S742" s="1003"/>
      <c r="T742" s="1003"/>
      <c r="U742" s="118" t="s">
        <v>2258</v>
      </c>
      <c r="V742" s="1073"/>
      <c r="W742" s="1073"/>
      <c r="X742" s="1073"/>
      <c r="Y742" s="1074"/>
      <c r="Z742" s="1074"/>
      <c r="AA742" s="1074"/>
      <c r="AB742" s="1074"/>
      <c r="AC742" s="1073"/>
      <c r="AD742" s="1073"/>
      <c r="AE742" s="1073"/>
      <c r="AF742" s="1073"/>
      <c r="AG742" s="1703"/>
      <c r="AH742" s="1703"/>
      <c r="AI742" s="1703"/>
      <c r="AJ742" s="1703"/>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5"/>
      <c r="E744" s="1075"/>
      <c r="F744" s="1075"/>
      <c r="G744" s="1075"/>
      <c r="H744" s="1075"/>
      <c r="I744" s="1075"/>
      <c r="J744" s="1075"/>
      <c r="K744" s="1075"/>
      <c r="L744" s="1075"/>
      <c r="M744" s="1075"/>
      <c r="N744" s="1075"/>
      <c r="O744" s="1075"/>
      <c r="P744" s="1075"/>
      <c r="Q744" s="1075"/>
      <c r="R744" s="1075"/>
      <c r="S744" s="1075"/>
      <c r="T744" s="1075"/>
      <c r="U744" s="1075"/>
      <c r="V744" s="1075"/>
      <c r="W744" s="1075"/>
      <c r="X744" s="1075"/>
      <c r="Y744" s="1075"/>
      <c r="Z744" s="1075"/>
      <c r="AA744" s="1075"/>
      <c r="AB744" s="1075"/>
      <c r="AC744" s="1075"/>
      <c r="AD744" s="1591" t="s">
        <v>601</v>
      </c>
      <c r="AE744" s="1591"/>
      <c r="AF744" s="1591"/>
      <c r="AG744" s="1075"/>
      <c r="AH744" s="1075"/>
      <c r="AI744" s="1075"/>
      <c r="AJ744" s="1075"/>
      <c r="AK744" s="1075"/>
      <c r="AL744" s="1075"/>
      <c r="AM744" s="1075"/>
      <c r="AN744" s="1075"/>
      <c r="AO744" s="1075"/>
      <c r="AP744" s="1075"/>
      <c r="AQ744" s="1075"/>
      <c r="AR744" s="1075"/>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6" t="s">
        <v>2505</v>
      </c>
      <c r="D745" s="1075"/>
      <c r="E745" s="1075"/>
      <c r="F745" s="1075"/>
      <c r="G745" s="1075"/>
      <c r="H745" s="1075"/>
      <c r="I745" s="1075"/>
      <c r="J745" s="1075"/>
      <c r="K745" s="1075"/>
      <c r="L745" s="1075"/>
      <c r="M745" s="1075"/>
      <c r="N745" s="1075"/>
      <c r="O745" s="1075"/>
      <c r="P745" s="1075"/>
      <c r="Q745" s="1075"/>
      <c r="R745" s="1075"/>
      <c r="S745" s="1075"/>
      <c r="T745" s="1075"/>
      <c r="U745" s="1075"/>
      <c r="V745" s="1075"/>
      <c r="W745" s="1075"/>
      <c r="X745" s="1075"/>
      <c r="Y745" s="1075"/>
      <c r="Z745" s="1075"/>
      <c r="AA745" s="1075"/>
      <c r="AB745" s="1075"/>
      <c r="AC745" s="1075"/>
      <c r="AD745" s="1075"/>
      <c r="AE745" s="1075"/>
      <c r="AF745" s="1075"/>
      <c r="AG745" s="1075"/>
      <c r="AH745" s="1075"/>
      <c r="AI745" s="1075"/>
      <c r="AJ745" s="1075"/>
      <c r="AK745" s="1075"/>
      <c r="AL745" s="1075"/>
      <c r="AM745" s="1075"/>
      <c r="AN745" s="1075"/>
      <c r="AO745" s="1075"/>
      <c r="AP745" s="1075"/>
      <c r="AQ745" s="1075"/>
      <c r="AR745" s="1075"/>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3"/>
      <c r="C747" s="118" t="s">
        <v>178</v>
      </c>
      <c r="D747" s="1073"/>
      <c r="E747" s="1073"/>
      <c r="F747" s="1073"/>
      <c r="G747" s="386"/>
      <c r="H747" s="386"/>
      <c r="I747" s="386"/>
      <c r="J747" s="386"/>
      <c r="K747" s="386"/>
      <c r="L747" s="1073"/>
      <c r="M747" s="1073"/>
      <c r="N747" s="1073"/>
      <c r="O747" s="1073"/>
      <c r="P747" s="1073"/>
      <c r="Q747" s="386"/>
      <c r="R747" s="386"/>
      <c r="S747" s="386"/>
      <c r="T747" s="386"/>
      <c r="U747" s="386"/>
      <c r="AT747"/>
      <c r="AU747"/>
      <c r="AV747"/>
      <c r="AW747"/>
      <c r="AX747"/>
      <c r="AY747"/>
    </row>
    <row r="748" spans="1:16383" s="3" customFormat="1" ht="12.95" customHeight="1">
      <c r="B748" s="1073"/>
      <c r="C748" s="1268" t="s">
        <v>2506</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3"/>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3"/>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3"/>
      <c r="C751" s="1268" t="s">
        <v>2507</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3"/>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3"/>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91" t="s">
        <v>391</v>
      </c>
      <c r="K754" s="1492"/>
      <c r="L754" s="1492"/>
      <c r="M754" s="1492"/>
      <c r="N754" s="1493"/>
      <c r="O754" s="1695" t="s">
        <v>287</v>
      </c>
      <c r="P754" s="1695"/>
      <c r="Q754" s="1695"/>
      <c r="R754" s="1695"/>
      <c r="S754" s="1695"/>
      <c r="T754" s="1507" t="s">
        <v>1940</v>
      </c>
      <c r="U754" s="1508"/>
      <c r="V754" s="1508"/>
      <c r="W754" s="1509"/>
      <c r="X754" s="1491" t="s">
        <v>457</v>
      </c>
      <c r="Y754" s="1492"/>
      <c r="Z754" s="1492"/>
      <c r="AA754" s="1492"/>
      <c r="AB754" s="1493"/>
      <c r="AC754" s="1491" t="s">
        <v>288</v>
      </c>
      <c r="AD754" s="1492"/>
      <c r="AE754" s="1492"/>
      <c r="AF754" s="1492"/>
      <c r="AG754" s="149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94"/>
      <c r="K755" s="1495"/>
      <c r="L755" s="1495"/>
      <c r="M755" s="1495"/>
      <c r="N755" s="1496"/>
      <c r="O755" s="1695"/>
      <c r="P755" s="1695"/>
      <c r="Q755" s="1695"/>
      <c r="R755" s="1695"/>
      <c r="S755" s="1695"/>
      <c r="T755" s="1510"/>
      <c r="U755" s="1511"/>
      <c r="V755" s="1511"/>
      <c r="W755" s="1512"/>
      <c r="X755" s="1494"/>
      <c r="Y755" s="1495"/>
      <c r="Z755" s="1495"/>
      <c r="AA755" s="1495"/>
      <c r="AB755" s="1496"/>
      <c r="AC755" s="1494"/>
      <c r="AD755" s="1495"/>
      <c r="AE755" s="1495"/>
      <c r="AF755" s="1495"/>
      <c r="AG755" s="149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94"/>
      <c r="K756" s="1495"/>
      <c r="L756" s="1495"/>
      <c r="M756" s="1495"/>
      <c r="N756" s="1496"/>
      <c r="O756" s="1695"/>
      <c r="P756" s="1695"/>
      <c r="Q756" s="1695"/>
      <c r="R756" s="1695"/>
      <c r="S756" s="1695"/>
      <c r="T756" s="1510"/>
      <c r="U756" s="1511"/>
      <c r="V756" s="1511"/>
      <c r="W756" s="1512"/>
      <c r="X756" s="1494"/>
      <c r="Y756" s="1495"/>
      <c r="Z756" s="1495"/>
      <c r="AA756" s="1495"/>
      <c r="AB756" s="1496"/>
      <c r="AC756" s="1494"/>
      <c r="AD756" s="1495"/>
      <c r="AE756" s="1495"/>
      <c r="AF756" s="1495"/>
      <c r="AG756" s="149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7"/>
      <c r="K757" s="1498"/>
      <c r="L757" s="1498"/>
      <c r="M757" s="1498"/>
      <c r="N757" s="1499"/>
      <c r="O757" s="1695"/>
      <c r="P757" s="1695"/>
      <c r="Q757" s="1695"/>
      <c r="R757" s="1695"/>
      <c r="S757" s="1695"/>
      <c r="T757" s="1513"/>
      <c r="U757" s="1514"/>
      <c r="V757" s="1514"/>
      <c r="W757" s="1515"/>
      <c r="X757" s="1497"/>
      <c r="Y757" s="1498"/>
      <c r="Z757" s="1498"/>
      <c r="AA757" s="1498"/>
      <c r="AB757" s="1499"/>
      <c r="AC757" s="1497"/>
      <c r="AD757" s="1498"/>
      <c r="AE757" s="1498"/>
      <c r="AF757" s="1498"/>
      <c r="AG757" s="149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1" t="s">
        <v>164</v>
      </c>
      <c r="K758" s="1382"/>
      <c r="L758" s="1382"/>
      <c r="M758" s="1382"/>
      <c r="N758" s="1383"/>
      <c r="O758" s="1377">
        <v>1</v>
      </c>
      <c r="P758" s="1377"/>
      <c r="Q758" s="1377"/>
      <c r="R758" s="1377"/>
      <c r="S758" s="1377"/>
      <c r="T758" s="1485">
        <f>K719</f>
        <v>917</v>
      </c>
      <c r="U758" s="1486"/>
      <c r="V758" s="1486"/>
      <c r="W758" s="1487"/>
      <c r="X758" s="1478"/>
      <c r="Y758" s="1479"/>
      <c r="Z758" s="1479"/>
      <c r="AA758" s="1479"/>
      <c r="AB758" s="1480"/>
      <c r="AC758" s="1503">
        <f>X758*O758</f>
        <v>0</v>
      </c>
      <c r="AD758" s="1504"/>
      <c r="AE758" s="1504"/>
      <c r="AF758" s="1504"/>
      <c r="AG758" s="1505"/>
      <c r="AH758" s="1055"/>
      <c r="AI758" s="116"/>
      <c r="AJ758" s="116"/>
      <c r="AK758" s="1055"/>
      <c r="AL758" s="105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470"/>
      <c r="K759" s="1471"/>
      <c r="L759" s="1471"/>
      <c r="M759" s="1471"/>
      <c r="N759" s="1472"/>
      <c r="O759" s="1484"/>
      <c r="P759" s="1484"/>
      <c r="Q759" s="1484"/>
      <c r="R759" s="1484"/>
      <c r="S759" s="1484"/>
      <c r="T759" s="1485"/>
      <c r="U759" s="1486"/>
      <c r="V759" s="1486"/>
      <c r="W759" s="1487"/>
      <c r="X759" s="1478"/>
      <c r="Y759" s="1479"/>
      <c r="Z759" s="1479"/>
      <c r="AA759" s="1479"/>
      <c r="AB759" s="1480"/>
      <c r="AC759" s="1503">
        <f>X759*O759</f>
        <v>0</v>
      </c>
      <c r="AD759" s="1504"/>
      <c r="AE759" s="1504"/>
      <c r="AF759" s="1504"/>
      <c r="AG759" s="1505"/>
      <c r="AH759" s="1055"/>
      <c r="AI759" s="1055"/>
      <c r="AJ759" s="1055"/>
      <c r="AK759" s="1055"/>
      <c r="AL759" s="105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470"/>
      <c r="K760" s="1471"/>
      <c r="L760" s="1471"/>
      <c r="M760" s="1471"/>
      <c r="N760" s="1472"/>
      <c r="O760" s="1484"/>
      <c r="P760" s="1484"/>
      <c r="Q760" s="1484"/>
      <c r="R760" s="1484"/>
      <c r="S760" s="1484"/>
      <c r="T760" s="1485"/>
      <c r="U760" s="1486"/>
      <c r="V760" s="1486"/>
      <c r="W760" s="1487"/>
      <c r="X760" s="1478"/>
      <c r="Y760" s="1479"/>
      <c r="Z760" s="1479"/>
      <c r="AA760" s="1479"/>
      <c r="AB760" s="1480"/>
      <c r="AC760" s="1503">
        <f>X760*O760</f>
        <v>0</v>
      </c>
      <c r="AD760" s="1504"/>
      <c r="AE760" s="1504"/>
      <c r="AF760" s="1504"/>
      <c r="AG760" s="1505"/>
      <c r="AH760" s="1055"/>
      <c r="AI760" s="1055"/>
      <c r="AJ760" s="1055"/>
      <c r="AK760" s="1055"/>
      <c r="AL760" s="105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470"/>
      <c r="K761" s="1471"/>
      <c r="L761" s="1471"/>
      <c r="M761" s="1471"/>
      <c r="N761" s="1472"/>
      <c r="O761" s="1484"/>
      <c r="P761" s="1484"/>
      <c r="Q761" s="1484"/>
      <c r="R761" s="1484"/>
      <c r="S761" s="1484"/>
      <c r="T761" s="1485"/>
      <c r="U761" s="1486"/>
      <c r="V761" s="1486"/>
      <c r="W761" s="1487"/>
      <c r="X761" s="1478"/>
      <c r="Y761" s="1479"/>
      <c r="Z761" s="1479"/>
      <c r="AA761" s="1479"/>
      <c r="AB761" s="1480"/>
      <c r="AC761" s="1503">
        <f>X761*O761</f>
        <v>0</v>
      </c>
      <c r="AD761" s="1504"/>
      <c r="AE761" s="1504"/>
      <c r="AF761" s="1504"/>
      <c r="AG761" s="1505"/>
      <c r="AH761" s="1055"/>
      <c r="AI761" s="1055"/>
      <c r="AJ761" s="1055"/>
      <c r="AK761" s="1055"/>
      <c r="AL761" s="105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5" t="s">
        <v>126</v>
      </c>
      <c r="K762" s="1526"/>
      <c r="L762" s="1526"/>
      <c r="M762" s="1526"/>
      <c r="N762" s="1528"/>
      <c r="O762" s="1473">
        <f>SUM(O758:S761)</f>
        <v>1</v>
      </c>
      <c r="P762" s="1516"/>
      <c r="Q762" s="1516"/>
      <c r="R762" s="1516"/>
      <c r="S762" s="1474"/>
      <c r="X762" s="1525" t="s">
        <v>125</v>
      </c>
      <c r="Y762" s="1526"/>
      <c r="Z762" s="1526"/>
      <c r="AA762" s="1526"/>
      <c r="AB762" s="1528"/>
      <c r="AC762" s="1503">
        <f>SUM(AC758:AG761)</f>
        <v>0</v>
      </c>
      <c r="AD762" s="1504"/>
      <c r="AE762" s="1504"/>
      <c r="AF762" s="1504"/>
      <c r="AG762" s="1505"/>
      <c r="AI762" s="1055"/>
      <c r="AJ762" s="105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438" t="s">
        <v>679</v>
      </c>
      <c r="K764" s="143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2508</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91" t="s">
        <v>391</v>
      </c>
      <c r="K768" s="1492"/>
      <c r="L768" s="1492"/>
      <c r="M768" s="1492"/>
      <c r="N768" s="1493"/>
      <c r="O768" s="1695" t="s">
        <v>287</v>
      </c>
      <c r="P768" s="1695"/>
      <c r="Q768" s="1695"/>
      <c r="R768" s="1695"/>
      <c r="S768" s="1695"/>
      <c r="T768" s="1507" t="s">
        <v>1940</v>
      </c>
      <c r="U768" s="1508"/>
      <c r="V768" s="1508"/>
      <c r="W768" s="1509"/>
      <c r="X768" s="1491" t="s">
        <v>457</v>
      </c>
      <c r="Y768" s="1492"/>
      <c r="Z768" s="1492"/>
      <c r="AA768" s="1492"/>
      <c r="AB768" s="1493"/>
      <c r="AC768" s="1491" t="s">
        <v>288</v>
      </c>
      <c r="AD768" s="1492"/>
      <c r="AE768" s="1492"/>
      <c r="AF768" s="1492"/>
      <c r="AG768" s="1493"/>
      <c r="AH768" s="1610" t="s">
        <v>2133</v>
      </c>
      <c r="AI768" s="1611"/>
      <c r="AJ768" s="1611"/>
      <c r="AK768" s="1611"/>
      <c r="AL768" s="161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94"/>
      <c r="K769" s="1495"/>
      <c r="L769" s="1495"/>
      <c r="M769" s="1495"/>
      <c r="N769" s="1496"/>
      <c r="O769" s="1695"/>
      <c r="P769" s="1695"/>
      <c r="Q769" s="1695"/>
      <c r="R769" s="1695"/>
      <c r="S769" s="1695"/>
      <c r="T769" s="1510"/>
      <c r="U769" s="1511"/>
      <c r="V769" s="1511"/>
      <c r="W769" s="1512"/>
      <c r="X769" s="1494"/>
      <c r="Y769" s="1495"/>
      <c r="Z769" s="1495"/>
      <c r="AA769" s="1495"/>
      <c r="AB769" s="1496"/>
      <c r="AC769" s="1494"/>
      <c r="AD769" s="1495"/>
      <c r="AE769" s="1495"/>
      <c r="AF769" s="1495"/>
      <c r="AG769" s="1496"/>
      <c r="AH769" s="1610"/>
      <c r="AI769" s="1611"/>
      <c r="AJ769" s="1611"/>
      <c r="AK769" s="1611"/>
      <c r="AL769" s="161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94"/>
      <c r="K770" s="1495"/>
      <c r="L770" s="1495"/>
      <c r="M770" s="1495"/>
      <c r="N770" s="1496"/>
      <c r="O770" s="1695"/>
      <c r="P770" s="1695"/>
      <c r="Q770" s="1695"/>
      <c r="R770" s="1695"/>
      <c r="S770" s="1695"/>
      <c r="T770" s="1510"/>
      <c r="U770" s="1511"/>
      <c r="V770" s="1511"/>
      <c r="W770" s="1512"/>
      <c r="X770" s="1494"/>
      <c r="Y770" s="1495"/>
      <c r="Z770" s="1495"/>
      <c r="AA770" s="1495"/>
      <c r="AB770" s="1496"/>
      <c r="AC770" s="1494"/>
      <c r="AD770" s="1495"/>
      <c r="AE770" s="1495"/>
      <c r="AF770" s="1495"/>
      <c r="AG770" s="1496"/>
      <c r="AH770" s="1610"/>
      <c r="AI770" s="1611"/>
      <c r="AJ770" s="1611"/>
      <c r="AK770" s="1611"/>
      <c r="AL770" s="161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7"/>
      <c r="K771" s="1498"/>
      <c r="L771" s="1498"/>
      <c r="M771" s="1498"/>
      <c r="N771" s="1499"/>
      <c r="O771" s="1695"/>
      <c r="P771" s="1695"/>
      <c r="Q771" s="1695"/>
      <c r="R771" s="1695"/>
      <c r="S771" s="1695"/>
      <c r="T771" s="1513"/>
      <c r="U771" s="1514"/>
      <c r="V771" s="1514"/>
      <c r="W771" s="1515"/>
      <c r="X771" s="1497"/>
      <c r="Y771" s="1498"/>
      <c r="Z771" s="1498"/>
      <c r="AA771" s="1498"/>
      <c r="AB771" s="1499"/>
      <c r="AC771" s="1497"/>
      <c r="AD771" s="1498"/>
      <c r="AE771" s="1498"/>
      <c r="AF771" s="1498"/>
      <c r="AG771" s="1499"/>
      <c r="AH771" s="1610"/>
      <c r="AI771" s="1611"/>
      <c r="AJ771" s="1611"/>
      <c r="AK771" s="1611"/>
      <c r="AL771" s="161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470"/>
      <c r="K772" s="1471"/>
      <c r="L772" s="1471"/>
      <c r="M772" s="1471"/>
      <c r="N772" s="1472"/>
      <c r="O772" s="1484"/>
      <c r="P772" s="1484"/>
      <c r="Q772" s="1484"/>
      <c r="R772" s="1484"/>
      <c r="S772" s="1484"/>
      <c r="T772" s="1485"/>
      <c r="U772" s="1486"/>
      <c r="V772" s="1486"/>
      <c r="W772" s="1487"/>
      <c r="X772" s="1478"/>
      <c r="Y772" s="1479"/>
      <c r="Z772" s="1479"/>
      <c r="AA772" s="1479"/>
      <c r="AB772" s="1480"/>
      <c r="AC772" s="1503">
        <f t="shared" ref="AC772:AC781" si="53">X772*O772</f>
        <v>0</v>
      </c>
      <c r="AD772" s="1504"/>
      <c r="AE772" s="1504"/>
      <c r="AF772" s="1504"/>
      <c r="AG772" s="1505"/>
      <c r="AH772" s="1612"/>
      <c r="AI772" s="1613"/>
      <c r="AJ772" s="1613"/>
      <c r="AK772" s="1613"/>
      <c r="AL772" s="161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470"/>
      <c r="K773" s="1471"/>
      <c r="L773" s="1471"/>
      <c r="M773" s="1471"/>
      <c r="N773" s="1472"/>
      <c r="O773" s="1484"/>
      <c r="P773" s="1484"/>
      <c r="Q773" s="1484"/>
      <c r="R773" s="1484"/>
      <c r="S773" s="1484"/>
      <c r="T773" s="1485"/>
      <c r="U773" s="1486"/>
      <c r="V773" s="1486"/>
      <c r="W773" s="1487"/>
      <c r="X773" s="1478"/>
      <c r="Y773" s="1479"/>
      <c r="Z773" s="1479"/>
      <c r="AA773" s="1479"/>
      <c r="AB773" s="1480"/>
      <c r="AC773" s="1503">
        <f t="shared" si="53"/>
        <v>0</v>
      </c>
      <c r="AD773" s="1504"/>
      <c r="AE773" s="1504"/>
      <c r="AF773" s="1504"/>
      <c r="AG773" s="1505"/>
      <c r="AH773" s="1612"/>
      <c r="AI773" s="1613"/>
      <c r="AJ773" s="1613"/>
      <c r="AK773" s="1613"/>
      <c r="AL773" s="161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470"/>
      <c r="K774" s="1471"/>
      <c r="L774" s="1471"/>
      <c r="M774" s="1471"/>
      <c r="N774" s="1472"/>
      <c r="O774" s="1484"/>
      <c r="P774" s="1484"/>
      <c r="Q774" s="1484"/>
      <c r="R774" s="1484"/>
      <c r="S774" s="1484"/>
      <c r="T774" s="1485"/>
      <c r="U774" s="1486"/>
      <c r="V774" s="1486"/>
      <c r="W774" s="1487"/>
      <c r="X774" s="1478"/>
      <c r="Y774" s="1479"/>
      <c r="Z774" s="1479"/>
      <c r="AA774" s="1479"/>
      <c r="AB774" s="1480"/>
      <c r="AC774" s="1503">
        <f t="shared" si="53"/>
        <v>0</v>
      </c>
      <c r="AD774" s="1504"/>
      <c r="AE774" s="1504"/>
      <c r="AF774" s="1504"/>
      <c r="AG774" s="1505"/>
      <c r="AH774" s="1612"/>
      <c r="AI774" s="1613"/>
      <c r="AJ774" s="1613"/>
      <c r="AK774" s="1613"/>
      <c r="AL774" s="161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470"/>
      <c r="K775" s="1471"/>
      <c r="L775" s="1471"/>
      <c r="M775" s="1471"/>
      <c r="N775" s="1472"/>
      <c r="O775" s="1484"/>
      <c r="P775" s="1484"/>
      <c r="Q775" s="1484"/>
      <c r="R775" s="1484"/>
      <c r="S775" s="1484"/>
      <c r="T775" s="1485"/>
      <c r="U775" s="1486"/>
      <c r="V775" s="1486"/>
      <c r="W775" s="1487"/>
      <c r="X775" s="1478"/>
      <c r="Y775" s="1479"/>
      <c r="Z775" s="1479"/>
      <c r="AA775" s="1479"/>
      <c r="AB775" s="1480"/>
      <c r="AC775" s="1503">
        <f t="shared" si="53"/>
        <v>0</v>
      </c>
      <c r="AD775" s="1504"/>
      <c r="AE775" s="1504"/>
      <c r="AF775" s="1504"/>
      <c r="AG775" s="1505"/>
      <c r="AH775" s="1612"/>
      <c r="AI775" s="1613"/>
      <c r="AJ775" s="1613"/>
      <c r="AK775" s="1613"/>
      <c r="AL775" s="161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470"/>
      <c r="K776" s="1471"/>
      <c r="L776" s="1471"/>
      <c r="M776" s="1471"/>
      <c r="N776" s="1472"/>
      <c r="O776" s="1484"/>
      <c r="P776" s="1484"/>
      <c r="Q776" s="1484"/>
      <c r="R776" s="1484"/>
      <c r="S776" s="1484"/>
      <c r="T776" s="1485"/>
      <c r="U776" s="1486"/>
      <c r="V776" s="1486"/>
      <c r="W776" s="1487"/>
      <c r="X776" s="1478"/>
      <c r="Y776" s="1479"/>
      <c r="Z776" s="1479"/>
      <c r="AA776" s="1479"/>
      <c r="AB776" s="1480"/>
      <c r="AC776" s="1503">
        <f t="shared" si="53"/>
        <v>0</v>
      </c>
      <c r="AD776" s="1504"/>
      <c r="AE776" s="1504"/>
      <c r="AF776" s="1504"/>
      <c r="AG776" s="1505"/>
      <c r="AH776" s="1612"/>
      <c r="AI776" s="1613"/>
      <c r="AJ776" s="1613"/>
      <c r="AK776" s="1613"/>
      <c r="AL776" s="161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470"/>
      <c r="K777" s="1471"/>
      <c r="L777" s="1471"/>
      <c r="M777" s="1471"/>
      <c r="N777" s="1472"/>
      <c r="O777" s="1484"/>
      <c r="P777" s="1484"/>
      <c r="Q777" s="1484"/>
      <c r="R777" s="1484"/>
      <c r="S777" s="1484"/>
      <c r="T777" s="1485"/>
      <c r="U777" s="1486"/>
      <c r="V777" s="1486"/>
      <c r="W777" s="1487"/>
      <c r="X777" s="1478"/>
      <c r="Y777" s="1479"/>
      <c r="Z777" s="1479"/>
      <c r="AA777" s="1479"/>
      <c r="AB777" s="1480"/>
      <c r="AC777" s="1503">
        <f t="shared" si="53"/>
        <v>0</v>
      </c>
      <c r="AD777" s="1504"/>
      <c r="AE777" s="1504"/>
      <c r="AF777" s="1504"/>
      <c r="AG777" s="1505"/>
      <c r="AH777" s="1612"/>
      <c r="AI777" s="1613"/>
      <c r="AJ777" s="1613"/>
      <c r="AK777" s="1613"/>
      <c r="AL777" s="161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470"/>
      <c r="K778" s="1471"/>
      <c r="L778" s="1471"/>
      <c r="M778" s="1471"/>
      <c r="N778" s="1472"/>
      <c r="O778" s="1484"/>
      <c r="P778" s="1484"/>
      <c r="Q778" s="1484"/>
      <c r="R778" s="1484"/>
      <c r="S778" s="1484"/>
      <c r="T778" s="1485"/>
      <c r="U778" s="1486"/>
      <c r="V778" s="1486"/>
      <c r="W778" s="1487"/>
      <c r="X778" s="1478"/>
      <c r="Y778" s="1479"/>
      <c r="Z778" s="1479"/>
      <c r="AA778" s="1479"/>
      <c r="AB778" s="1480"/>
      <c r="AC778" s="1503">
        <f t="shared" si="53"/>
        <v>0</v>
      </c>
      <c r="AD778" s="1504"/>
      <c r="AE778" s="1504"/>
      <c r="AF778" s="1504"/>
      <c r="AG778" s="1505"/>
      <c r="AH778" s="1612"/>
      <c r="AI778" s="1613"/>
      <c r="AJ778" s="1613"/>
      <c r="AK778" s="1613"/>
      <c r="AL778" s="161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470"/>
      <c r="K779" s="1471"/>
      <c r="L779" s="1471"/>
      <c r="M779" s="1471"/>
      <c r="N779" s="1472"/>
      <c r="O779" s="1484"/>
      <c r="P779" s="1484"/>
      <c r="Q779" s="1484"/>
      <c r="R779" s="1484"/>
      <c r="S779" s="1484"/>
      <c r="T779" s="1485"/>
      <c r="U779" s="1486"/>
      <c r="V779" s="1486"/>
      <c r="W779" s="1487"/>
      <c r="X779" s="1478"/>
      <c r="Y779" s="1479"/>
      <c r="Z779" s="1479"/>
      <c r="AA779" s="1479"/>
      <c r="AB779" s="1480"/>
      <c r="AC779" s="1503">
        <f t="shared" si="53"/>
        <v>0</v>
      </c>
      <c r="AD779" s="1504"/>
      <c r="AE779" s="1504"/>
      <c r="AF779" s="1504"/>
      <c r="AG779" s="1505"/>
      <c r="AH779" s="1612"/>
      <c r="AI779" s="1613"/>
      <c r="AJ779" s="1613"/>
      <c r="AK779" s="1613"/>
      <c r="AL779" s="161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470"/>
      <c r="K780" s="1471"/>
      <c r="L780" s="1471"/>
      <c r="M780" s="1471"/>
      <c r="N780" s="1472"/>
      <c r="O780" s="1484"/>
      <c r="P780" s="1484"/>
      <c r="Q780" s="1484"/>
      <c r="R780" s="1484"/>
      <c r="S780" s="1484"/>
      <c r="T780" s="1485"/>
      <c r="U780" s="1486"/>
      <c r="V780" s="1486"/>
      <c r="W780" s="1487"/>
      <c r="X780" s="1478"/>
      <c r="Y780" s="1479"/>
      <c r="Z780" s="1479"/>
      <c r="AA780" s="1479"/>
      <c r="AB780" s="1480"/>
      <c r="AC780" s="1503">
        <f t="shared" si="53"/>
        <v>0</v>
      </c>
      <c r="AD780" s="1504"/>
      <c r="AE780" s="1504"/>
      <c r="AF780" s="1504"/>
      <c r="AG780" s="1505"/>
      <c r="AH780" s="1612"/>
      <c r="AI780" s="1613"/>
      <c r="AJ780" s="1613"/>
      <c r="AK780" s="1613"/>
      <c r="AL780" s="161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470"/>
      <c r="K781" s="1471"/>
      <c r="L781" s="1471"/>
      <c r="M781" s="1471"/>
      <c r="N781" s="1472"/>
      <c r="O781" s="1484"/>
      <c r="P781" s="1484"/>
      <c r="Q781" s="1484"/>
      <c r="R781" s="1484"/>
      <c r="S781" s="1484"/>
      <c r="T781" s="1485"/>
      <c r="U781" s="1486"/>
      <c r="V781" s="1486"/>
      <c r="W781" s="1487"/>
      <c r="X781" s="1478"/>
      <c r="Y781" s="1479"/>
      <c r="Z781" s="1479"/>
      <c r="AA781" s="1479"/>
      <c r="AB781" s="1480"/>
      <c r="AC781" s="1503">
        <f t="shared" si="53"/>
        <v>0</v>
      </c>
      <c r="AD781" s="1504"/>
      <c r="AE781" s="1504"/>
      <c r="AF781" s="1504"/>
      <c r="AG781" s="1505"/>
      <c r="AH781" s="1612"/>
      <c r="AI781" s="1613"/>
      <c r="AJ781" s="1613"/>
      <c r="AK781" s="1613"/>
      <c r="AL781" s="161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5" t="s">
        <v>126</v>
      </c>
      <c r="K782" s="1526"/>
      <c r="L782" s="1526"/>
      <c r="M782" s="1526"/>
      <c r="N782" s="1528"/>
      <c r="O782" s="1597">
        <f>SUM(O772:S781)</f>
        <v>0</v>
      </c>
      <c r="P782" s="1597"/>
      <c r="Q782" s="1597"/>
      <c r="R782" s="1597"/>
      <c r="S782" s="1597"/>
      <c r="X782" s="936" t="s">
        <v>125</v>
      </c>
      <c r="Y782" s="11"/>
      <c r="Z782" s="11"/>
      <c r="AA782" s="11"/>
      <c r="AB782" s="943"/>
      <c r="AC782" s="1503">
        <f>SUM(AC772:AG781)</f>
        <v>0</v>
      </c>
      <c r="AD782" s="1504"/>
      <c r="AE782" s="1504"/>
      <c r="AF782" s="1504"/>
      <c r="AG782" s="150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3">
        <f>O739+AC762+AC782</f>
        <v>279540</v>
      </c>
      <c r="Z784" s="1633"/>
      <c r="AA784" s="1633"/>
      <c r="AB784" s="1633"/>
      <c r="AC784" s="163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3">
        <f>(O739+AC762+AC782)*12</f>
        <v>3354480</v>
      </c>
      <c r="Z785" s="1633"/>
      <c r="AA785" s="1633"/>
      <c r="AB785" s="1633"/>
      <c r="AC785" s="1633"/>
      <c r="AZ785" s="3"/>
      <c r="BA785" s="14" t="s">
        <v>642</v>
      </c>
      <c r="BB785" s="14"/>
      <c r="BC785" s="14"/>
      <c r="BD785" s="14"/>
      <c r="BE785" s="14"/>
      <c r="BF785" s="14"/>
      <c r="BG785" s="14"/>
      <c r="BH785" s="14"/>
      <c r="BI785" s="14"/>
      <c r="BJ785" s="14"/>
      <c r="BK785" s="14"/>
      <c r="BL785" s="14"/>
      <c r="BM785" s="14"/>
      <c r="BN785" s="1693" t="s">
        <v>479</v>
      </c>
      <c r="BO785" s="1694"/>
      <c r="BP785" s="3"/>
      <c r="BQ785" s="3"/>
      <c r="BR785" s="3"/>
      <c r="BS785" s="14" t="s">
        <v>644</v>
      </c>
      <c r="BT785" s="14"/>
      <c r="BU785" s="14"/>
      <c r="BV785" s="14"/>
      <c r="BW785" s="14"/>
      <c r="BX785" s="14"/>
      <c r="BY785" s="14"/>
      <c r="BZ785" s="14"/>
      <c r="CA785" s="14"/>
      <c r="CB785" s="1690" t="str">
        <f>T189</f>
        <v>Los Angeles</v>
      </c>
      <c r="CC785" s="1691"/>
      <c r="CD785" s="1691"/>
      <c r="CE785" s="1691"/>
      <c r="CF785" s="1691"/>
      <c r="CG785" s="1691"/>
      <c r="CH785" s="169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2611</v>
      </c>
      <c r="BP788" s="32"/>
      <c r="BQ788" s="32"/>
      <c r="BR788" s="32"/>
      <c r="BS788" s="32"/>
      <c r="BT788" s="32"/>
      <c r="BV788" s="31" t="s">
        <v>2612</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24"/>
      <c r="AA790" s="1625"/>
      <c r="AB790" s="1625"/>
      <c r="AC790" s="1625"/>
      <c r="AD790" s="1625"/>
      <c r="AE790" s="1626"/>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7"/>
      <c r="AA791" s="1625"/>
      <c r="AB791" s="1625"/>
      <c r="AC791" s="1625"/>
      <c r="AD791" s="1625"/>
      <c r="AE791" s="162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5">
        <v>0</v>
      </c>
      <c r="AA792" s="1587"/>
      <c r="AB792" s="1587"/>
      <c r="AC792" s="1587"/>
      <c r="AD792" s="1587"/>
      <c r="AE792" s="161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2">
        <f>'Subsidy Contract Calculation'!J30</f>
        <v>0</v>
      </c>
      <c r="AA793" s="1523"/>
      <c r="AB793" s="1523"/>
      <c r="AC793" s="1523"/>
      <c r="AD793" s="1523"/>
      <c r="AE793" s="152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9">
        <f>18000+14160</f>
        <v>32160</v>
      </c>
      <c r="AA797" s="1600"/>
      <c r="AB797" s="1600"/>
      <c r="AC797" s="1600"/>
      <c r="AD797" s="1600"/>
      <c r="AE797" s="1601"/>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9"/>
      <c r="AA798" s="1600"/>
      <c r="AB798" s="1600"/>
      <c r="AC798" s="1600"/>
      <c r="AD798" s="1600"/>
      <c r="AE798" s="1601"/>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9">
        <v>60</v>
      </c>
      <c r="AA799" s="1600"/>
      <c r="AB799" s="1600"/>
      <c r="AC799" s="1600"/>
      <c r="AD799" s="1600"/>
      <c r="AE799" s="1601"/>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3" t="s">
        <v>2763</v>
      </c>
      <c r="Q800" s="1604"/>
      <c r="R800" s="1604"/>
      <c r="S800" s="1604"/>
      <c r="T800" s="1604"/>
      <c r="U800" s="1604"/>
      <c r="V800" s="1604"/>
      <c r="W800" s="1604"/>
      <c r="X800" s="1604"/>
      <c r="Y800" s="1605"/>
      <c r="Z800" s="1599">
        <f>117600+46800</f>
        <v>164400</v>
      </c>
      <c r="AA800" s="1600"/>
      <c r="AB800" s="1600"/>
      <c r="AC800" s="1600"/>
      <c r="AD800" s="1600"/>
      <c r="AE800" s="1601"/>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2">
        <f>SUM(Z797:AE800)</f>
        <v>196620</v>
      </c>
      <c r="AA801" s="1523"/>
      <c r="AB801" s="1523"/>
      <c r="AC801" s="1523"/>
      <c r="AD801" s="1523"/>
      <c r="AE801" s="152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22">
        <f>Z801+Y785+Z793</f>
        <v>3551100</v>
      </c>
      <c r="AA802" s="1523"/>
      <c r="AB802" s="1523"/>
      <c r="AC802" s="1523"/>
      <c r="AD802" s="1523"/>
      <c r="AE802" s="152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93" t="s">
        <v>127</v>
      </c>
      <c r="N807" s="1593"/>
      <c r="O807" s="1593"/>
      <c r="P807" s="1594"/>
      <c r="Q807" s="1614" t="s">
        <v>292</v>
      </c>
      <c r="R807" s="1614"/>
      <c r="S807" s="1614"/>
      <c r="T807" s="1614"/>
      <c r="U807" s="1614" t="s">
        <v>293</v>
      </c>
      <c r="V807" s="1614"/>
      <c r="W807" s="1614"/>
      <c r="X807" s="1614"/>
      <c r="Y807" s="1614" t="s">
        <v>294</v>
      </c>
      <c r="Z807" s="1614"/>
      <c r="AA807" s="1614"/>
      <c r="AB807" s="1614"/>
      <c r="AC807" s="1614" t="s">
        <v>363</v>
      </c>
      <c r="AD807" s="1614"/>
      <c r="AE807" s="1614"/>
      <c r="AF807" s="1614"/>
      <c r="AG807" s="1757" t="s">
        <v>337</v>
      </c>
      <c r="AH807" s="1757"/>
      <c r="AI807" s="1757"/>
      <c r="AJ807" s="1757"/>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95"/>
      <c r="N808" s="1595"/>
      <c r="O808" s="1595"/>
      <c r="P808" s="1596"/>
      <c r="Q808" s="1614"/>
      <c r="R808" s="1614"/>
      <c r="S808" s="1614"/>
      <c r="T808" s="1614"/>
      <c r="U808" s="1614"/>
      <c r="V808" s="1614"/>
      <c r="W808" s="1614"/>
      <c r="X808" s="1614"/>
      <c r="Y808" s="1614"/>
      <c r="Z808" s="1614"/>
      <c r="AA808" s="1614"/>
      <c r="AB808" s="1614"/>
      <c r="AC808" s="1614"/>
      <c r="AD808" s="1614"/>
      <c r="AE808" s="1614"/>
      <c r="AF808" s="1614"/>
      <c r="AG808" s="1757"/>
      <c r="AH808" s="1757"/>
      <c r="AI808" s="1757"/>
      <c r="AJ808" s="1757"/>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02" t="s">
        <v>40</v>
      </c>
      <c r="D809" s="1518"/>
      <c r="E809" s="1518"/>
      <c r="F809" s="1518"/>
      <c r="G809" s="1518"/>
      <c r="H809" s="1518"/>
      <c r="I809" s="48"/>
      <c r="J809" s="48"/>
      <c r="K809" s="48"/>
      <c r="L809" s="49"/>
      <c r="M809" s="1592"/>
      <c r="N809" s="1592"/>
      <c r="O809" s="1592"/>
      <c r="P809" s="1592"/>
      <c r="Q809" s="1592">
        <v>20</v>
      </c>
      <c r="R809" s="1592"/>
      <c r="S809" s="1592"/>
      <c r="T809" s="1592"/>
      <c r="U809" s="1592">
        <v>26</v>
      </c>
      <c r="V809" s="1592"/>
      <c r="W809" s="1592"/>
      <c r="X809" s="1592"/>
      <c r="Y809" s="1592">
        <v>34</v>
      </c>
      <c r="Z809" s="1592"/>
      <c r="AA809" s="1592"/>
      <c r="AB809" s="1592"/>
      <c r="AC809" s="1581"/>
      <c r="AD809" s="1582"/>
      <c r="AE809" s="1582"/>
      <c r="AF809" s="1583"/>
      <c r="AG809" s="1581"/>
      <c r="AH809" s="1582"/>
      <c r="AI809" s="1582"/>
      <c r="AJ809" s="158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19" t="s">
        <v>41</v>
      </c>
      <c r="D810" s="1420"/>
      <c r="E810" s="1420"/>
      <c r="F810" s="1420"/>
      <c r="G810" s="1420"/>
      <c r="H810" s="1420"/>
      <c r="I810" s="5"/>
      <c r="J810" s="5"/>
      <c r="K810" s="5"/>
      <c r="L810" s="46"/>
      <c r="M810" s="1592"/>
      <c r="N810" s="1592"/>
      <c r="O810" s="1592"/>
      <c r="P810" s="1592"/>
      <c r="Q810" s="1592">
        <v>14</v>
      </c>
      <c r="R810" s="1592"/>
      <c r="S810" s="1592"/>
      <c r="T810" s="1592"/>
      <c r="U810" s="1592">
        <v>18</v>
      </c>
      <c r="V810" s="1592"/>
      <c r="W810" s="1592"/>
      <c r="X810" s="1592"/>
      <c r="Y810" s="1592">
        <v>22</v>
      </c>
      <c r="Z810" s="1592"/>
      <c r="AA810" s="1592"/>
      <c r="AB810" s="1592"/>
      <c r="AC810" s="1581"/>
      <c r="AD810" s="1582"/>
      <c r="AE810" s="1582"/>
      <c r="AF810" s="1583"/>
      <c r="AG810" s="1581"/>
      <c r="AH810" s="1582"/>
      <c r="AI810" s="1582"/>
      <c r="AJ810" s="158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19" t="s">
        <v>42</v>
      </c>
      <c r="D811" s="1420"/>
      <c r="E811" s="1420"/>
      <c r="F811" s="1420"/>
      <c r="G811" s="1420"/>
      <c r="H811" s="1420"/>
      <c r="I811" s="60"/>
      <c r="J811" s="60"/>
      <c r="K811" s="60"/>
      <c r="L811" s="61"/>
      <c r="M811" s="1592"/>
      <c r="N811" s="1592"/>
      <c r="O811" s="1592"/>
      <c r="P811" s="1592"/>
      <c r="Q811" s="1592">
        <v>8</v>
      </c>
      <c r="R811" s="1592"/>
      <c r="S811" s="1592"/>
      <c r="T811" s="1592"/>
      <c r="U811" s="1592">
        <v>11</v>
      </c>
      <c r="V811" s="1592"/>
      <c r="W811" s="1592"/>
      <c r="X811" s="1592"/>
      <c r="Y811" s="1592">
        <v>13</v>
      </c>
      <c r="Z811" s="1592"/>
      <c r="AA811" s="1592"/>
      <c r="AB811" s="1592"/>
      <c r="AC811" s="1581"/>
      <c r="AD811" s="1582"/>
      <c r="AE811" s="1582"/>
      <c r="AF811" s="1583"/>
      <c r="AG811" s="1581"/>
      <c r="AH811" s="1582"/>
      <c r="AI811" s="1582"/>
      <c r="AJ811" s="158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19" t="s">
        <v>787</v>
      </c>
      <c r="D812" s="1420"/>
      <c r="E812" s="1420"/>
      <c r="F812" s="1420"/>
      <c r="G812" s="1420"/>
      <c r="H812" s="1420"/>
      <c r="I812" s="60"/>
      <c r="J812" s="60"/>
      <c r="K812" s="60"/>
      <c r="L812" s="61"/>
      <c r="M812" s="1592"/>
      <c r="N812" s="1592"/>
      <c r="O812" s="1592"/>
      <c r="P812" s="1592"/>
      <c r="Q812" s="1592"/>
      <c r="R812" s="1592"/>
      <c r="S812" s="1592"/>
      <c r="T812" s="1592"/>
      <c r="U812" s="1592"/>
      <c r="V812" s="1592"/>
      <c r="W812" s="1592"/>
      <c r="X812" s="1592"/>
      <c r="Y812" s="1592"/>
      <c r="Z812" s="1592"/>
      <c r="AA812" s="1592"/>
      <c r="AB812" s="1592"/>
      <c r="AC812" s="1581"/>
      <c r="AD812" s="1582"/>
      <c r="AE812" s="1582"/>
      <c r="AF812" s="1583"/>
      <c r="AG812" s="1581"/>
      <c r="AH812" s="1582"/>
      <c r="AI812" s="1582"/>
      <c r="AJ812" s="158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19" t="s">
        <v>469</v>
      </c>
      <c r="D813" s="1420"/>
      <c r="E813" s="1420"/>
      <c r="F813" s="1420"/>
      <c r="G813" s="1420"/>
      <c r="H813" s="1420"/>
      <c r="I813" s="60"/>
      <c r="J813" s="60"/>
      <c r="K813" s="60"/>
      <c r="L813" s="61"/>
      <c r="M813" s="1592"/>
      <c r="N813" s="1592"/>
      <c r="O813" s="1592"/>
      <c r="P813" s="1592"/>
      <c r="Q813" s="1592">
        <v>36</v>
      </c>
      <c r="R813" s="1592"/>
      <c r="S813" s="1592"/>
      <c r="T813" s="1592"/>
      <c r="U813" s="1592">
        <v>44</v>
      </c>
      <c r="V813" s="1592"/>
      <c r="W813" s="1592"/>
      <c r="X813" s="1592"/>
      <c r="Y813" s="1592">
        <v>53</v>
      </c>
      <c r="Z813" s="1592"/>
      <c r="AA813" s="1592"/>
      <c r="AB813" s="1592"/>
      <c r="AC813" s="1581"/>
      <c r="AD813" s="1582"/>
      <c r="AE813" s="1582"/>
      <c r="AF813" s="1583"/>
      <c r="AG813" s="1581"/>
      <c r="AH813" s="1582"/>
      <c r="AI813" s="1582"/>
      <c r="AJ813" s="158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823" t="s">
        <v>808</v>
      </c>
      <c r="D814" s="1420"/>
      <c r="E814" s="1420"/>
      <c r="F814" s="1420"/>
      <c r="G814" s="1420"/>
      <c r="H814" s="1420"/>
      <c r="I814" s="60"/>
      <c r="J814" s="60"/>
      <c r="K814" s="60"/>
      <c r="L814" s="61"/>
      <c r="M814" s="1592"/>
      <c r="N814" s="1592"/>
      <c r="O814" s="1592"/>
      <c r="P814" s="1592"/>
      <c r="Q814" s="1592">
        <v>34</v>
      </c>
      <c r="R814" s="1592"/>
      <c r="S814" s="1592"/>
      <c r="T814" s="1592"/>
      <c r="U814" s="1592">
        <v>42</v>
      </c>
      <c r="V814" s="1592"/>
      <c r="W814" s="1592"/>
      <c r="X814" s="1592"/>
      <c r="Y814" s="1592">
        <v>59</v>
      </c>
      <c r="Z814" s="1592"/>
      <c r="AA814" s="1592"/>
      <c r="AB814" s="1592"/>
      <c r="AC814" s="1581"/>
      <c r="AD814" s="1582"/>
      <c r="AE814" s="1582"/>
      <c r="AF814" s="1583"/>
      <c r="AG814" s="1581"/>
      <c r="AH814" s="1582"/>
      <c r="AI814" s="1582"/>
      <c r="AJ814" s="158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3" t="s">
        <v>2739</v>
      </c>
      <c r="G815" s="1604"/>
      <c r="H815" s="1604"/>
      <c r="I815" s="1604"/>
      <c r="J815" s="1604"/>
      <c r="K815" s="1604"/>
      <c r="L815" s="1604"/>
      <c r="M815" s="1592"/>
      <c r="N815" s="1592"/>
      <c r="O815" s="1592"/>
      <c r="P815" s="1592"/>
      <c r="Q815" s="1592">
        <f>37+21</f>
        <v>58</v>
      </c>
      <c r="R815" s="1592"/>
      <c r="S815" s="1592"/>
      <c r="T815" s="1592"/>
      <c r="U815" s="1592">
        <f>37+28</f>
        <v>65</v>
      </c>
      <c r="V815" s="1592"/>
      <c r="W815" s="1592"/>
      <c r="X815" s="1592"/>
      <c r="Y815" s="1592">
        <f>37+35</f>
        <v>72</v>
      </c>
      <c r="Z815" s="1592"/>
      <c r="AA815" s="1592"/>
      <c r="AB815" s="1592"/>
      <c r="AC815" s="1581"/>
      <c r="AD815" s="1582"/>
      <c r="AE815" s="1582"/>
      <c r="AF815" s="1583"/>
      <c r="AG815" s="1581"/>
      <c r="AH815" s="1582"/>
      <c r="AI815" s="1582"/>
      <c r="AJ815" s="158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5" t="s">
        <v>125</v>
      </c>
      <c r="D816" s="1526"/>
      <c r="E816" s="1526"/>
      <c r="F816" s="1526"/>
      <c r="G816" s="1526"/>
      <c r="H816" s="1526"/>
      <c r="I816" s="1526"/>
      <c r="J816" s="1526"/>
      <c r="K816" s="1526"/>
      <c r="L816" s="1528"/>
      <c r="M816" s="1617">
        <f>SUM(M809:P815)</f>
        <v>0</v>
      </c>
      <c r="N816" s="1617"/>
      <c r="O816" s="1617"/>
      <c r="P816" s="1617"/>
      <c r="Q816" s="1617">
        <f>SUM(Q809:T815)</f>
        <v>170</v>
      </c>
      <c r="R816" s="1617"/>
      <c r="S816" s="1617"/>
      <c r="T816" s="1617"/>
      <c r="U816" s="1617">
        <f>SUM(U809:X815)</f>
        <v>206</v>
      </c>
      <c r="V816" s="1617"/>
      <c r="W816" s="1617"/>
      <c r="X816" s="1617"/>
      <c r="Y816" s="1617">
        <f>SUM(Y809:AB815)</f>
        <v>253</v>
      </c>
      <c r="Z816" s="1617"/>
      <c r="AA816" s="1617"/>
      <c r="AB816" s="1617"/>
      <c r="AC816" s="1617">
        <f>SUM(AC809:AF815)</f>
        <v>0</v>
      </c>
      <c r="AD816" s="1617"/>
      <c r="AE816" s="1617"/>
      <c r="AF816" s="1617"/>
      <c r="AG816" s="1617">
        <f>SUM(AG809:AJ815)</f>
        <v>0</v>
      </c>
      <c r="AH816" s="1617"/>
      <c r="AI816" s="1617"/>
      <c r="AJ816" s="161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64" t="s">
        <v>2740</v>
      </c>
      <c r="D821" s="1665"/>
      <c r="E821" s="1665"/>
      <c r="F821" s="1665"/>
      <c r="G821" s="1665"/>
      <c r="H821" s="1665"/>
      <c r="I821" s="1665"/>
      <c r="J821" s="1665"/>
      <c r="K821" s="1665"/>
      <c r="L821" s="1665"/>
      <c r="M821" s="1665"/>
      <c r="N821" s="1665"/>
      <c r="O821" s="1665"/>
      <c r="P821" s="1665"/>
      <c r="Q821" s="1665"/>
      <c r="R821" s="1665"/>
      <c r="S821" s="1665"/>
      <c r="T821" s="1665"/>
      <c r="U821" s="1665"/>
      <c r="V821" s="1665"/>
      <c r="W821" s="1665"/>
      <c r="X821" s="1665"/>
      <c r="Y821" s="1665"/>
      <c r="Z821" s="1665"/>
      <c r="AA821" s="1665"/>
      <c r="AB821" s="1665"/>
      <c r="AC821" s="1665"/>
      <c r="AD821" s="1665"/>
      <c r="AE821" s="1665"/>
      <c r="AF821" s="1665"/>
      <c r="AG821" s="1665"/>
      <c r="AH821" s="1665"/>
      <c r="AI821" s="1665"/>
      <c r="AJ821" s="166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09">
        <v>29400</v>
      </c>
      <c r="X826" s="1609"/>
      <c r="Y826" s="1609"/>
      <c r="Z826" s="1609"/>
      <c r="AA826" s="1609"/>
      <c r="AB826" s="1609"/>
      <c r="AC826" s="1609"/>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09">
        <v>29400</v>
      </c>
      <c r="X827" s="1609"/>
      <c r="Y827" s="1609"/>
      <c r="Z827" s="1609"/>
      <c r="AA827" s="1609"/>
      <c r="AB827" s="1609"/>
      <c r="AC827" s="1609"/>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09"/>
      <c r="X828" s="1609"/>
      <c r="Y828" s="1609"/>
      <c r="Z828" s="1609"/>
      <c r="AA828" s="1609"/>
      <c r="AB828" s="1609"/>
      <c r="AC828" s="1609"/>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09"/>
      <c r="X829" s="1609"/>
      <c r="Y829" s="1609"/>
      <c r="Z829" s="1609"/>
      <c r="AA829" s="1609"/>
      <c r="AB829" s="1609"/>
      <c r="AC829" s="1609"/>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3" t="s">
        <v>2741</v>
      </c>
      <c r="N830" s="1604"/>
      <c r="O830" s="1604"/>
      <c r="P830" s="1604"/>
      <c r="Q830" s="1604"/>
      <c r="R830" s="1604"/>
      <c r="S830" s="1604"/>
      <c r="T830" s="1604"/>
      <c r="U830" s="1604"/>
      <c r="V830" s="1605"/>
      <c r="W830" s="1609">
        <f>58800-39200</f>
        <v>19600</v>
      </c>
      <c r="X830" s="1609"/>
      <c r="Y830" s="1609"/>
      <c r="Z830" s="1609"/>
      <c r="AA830" s="1609"/>
      <c r="AB830" s="1609"/>
      <c r="AC830" s="1609"/>
      <c r="AD830"/>
      <c r="AE830"/>
      <c r="AF830"/>
      <c r="AG830"/>
      <c r="AH830"/>
      <c r="AI830"/>
      <c r="AJ830"/>
      <c r="AK830"/>
      <c r="AL830"/>
      <c r="AM830"/>
      <c r="AN830"/>
      <c r="AO830"/>
      <c r="AP830"/>
      <c r="AQ830"/>
      <c r="AR830"/>
      <c r="AS830"/>
      <c r="AT830"/>
      <c r="AU830"/>
      <c r="AV830"/>
      <c r="AW830"/>
      <c r="AX830"/>
      <c r="AY830"/>
      <c r="BI830" s="1632">
        <f>ROUNDDOWN(BC918*2,2)</f>
        <v>0</v>
      </c>
      <c r="BJ830" s="1632"/>
      <c r="BK830" s="1632"/>
      <c r="BL830" s="1632"/>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22">
        <f>SUM(W826:AC830)</f>
        <v>78400</v>
      </c>
      <c r="X831" s="1523"/>
      <c r="Y831" s="1523"/>
      <c r="Z831" s="1523"/>
      <c r="AA831" s="1523"/>
      <c r="AB831" s="1523"/>
      <c r="AC831" s="1524"/>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25" t="s">
        <v>347</v>
      </c>
      <c r="K833" s="1526"/>
      <c r="L833" s="1526"/>
      <c r="M833" s="1526"/>
      <c r="N833" s="1526"/>
      <c r="O833" s="1526"/>
      <c r="P833" s="1526"/>
      <c r="Q833" s="1526"/>
      <c r="R833" s="1526"/>
      <c r="S833" s="1526"/>
      <c r="T833" s="1526"/>
      <c r="U833" s="1526"/>
      <c r="V833" s="1528"/>
      <c r="W833" s="1599">
        <v>109838</v>
      </c>
      <c r="X833" s="1600"/>
      <c r="Y833" s="1600"/>
      <c r="Z833" s="1600"/>
      <c r="AA833" s="1600"/>
      <c r="AB833" s="1600"/>
      <c r="AC833" s="1601"/>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06"/>
      <c r="X835" s="1606"/>
      <c r="Y835" s="1606"/>
      <c r="Z835" s="1606"/>
      <c r="AA835" s="1606"/>
      <c r="AB835" s="1606"/>
      <c r="AC835" s="1606"/>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06">
        <v>21160</v>
      </c>
      <c r="X836" s="1606"/>
      <c r="Y836" s="1606"/>
      <c r="Z836" s="1606"/>
      <c r="AA836" s="1606"/>
      <c r="AB836" s="1606"/>
      <c r="AC836" s="1606"/>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06">
        <v>30070</v>
      </c>
      <c r="X837" s="1606"/>
      <c r="Y837" s="1606"/>
      <c r="Z837" s="1606"/>
      <c r="AA837" s="1606"/>
      <c r="AB837" s="1606"/>
      <c r="AC837" s="1606"/>
      <c r="AD837"/>
      <c r="AE837"/>
      <c r="AF837"/>
      <c r="AG837"/>
      <c r="AH837"/>
      <c r="AI837"/>
      <c r="AJ837"/>
      <c r="AK837"/>
      <c r="AL837"/>
      <c r="AM837"/>
      <c r="AN837"/>
      <c r="AO837"/>
      <c r="AP837"/>
      <c r="AQ837"/>
      <c r="AR837"/>
      <c r="AS837"/>
      <c r="AT837"/>
      <c r="AU837"/>
      <c r="AV837"/>
      <c r="AW837"/>
      <c r="AX837"/>
      <c r="AY837"/>
      <c r="AZ837" s="30"/>
      <c r="BA837" s="30"/>
      <c r="BG837" s="1631"/>
      <c r="BH837" s="1631"/>
      <c r="BI837" s="1631"/>
      <c r="BJ837" s="1631"/>
      <c r="BK837" s="1631"/>
      <c r="BL837" s="1631"/>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06">
        <f>84280-W837-W836</f>
        <v>33050</v>
      </c>
      <c r="X838" s="1606"/>
      <c r="Y838" s="1606"/>
      <c r="Z838" s="1606"/>
      <c r="AA838" s="1606"/>
      <c r="AB838" s="1606"/>
      <c r="AC838" s="160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28">
        <f>SUM(W835:AC838)</f>
        <v>84280</v>
      </c>
      <c r="X839" s="1628"/>
      <c r="Y839" s="1628"/>
      <c r="Z839" s="1628"/>
      <c r="AA839" s="1628"/>
      <c r="AB839" s="1628"/>
      <c r="AC839" s="162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98">
        <f>SUM(AZ807:AZ835)</f>
        <v>0</v>
      </c>
      <c r="BA840" s="1598"/>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1">
        <f>203840-19800</f>
        <v>184040</v>
      </c>
      <c r="X841" s="1622"/>
      <c r="Y841" s="1622"/>
      <c r="Z841" s="1622"/>
      <c r="AA841" s="1622"/>
      <c r="AB841" s="1622"/>
      <c r="AC841" s="1623"/>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671">
        <v>6</v>
      </c>
      <c r="U842" s="1536"/>
      <c r="V842" s="167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1">
        <v>97760</v>
      </c>
      <c r="X843" s="1622"/>
      <c r="Y843" s="1622"/>
      <c r="Z843" s="1622"/>
      <c r="AA843" s="1622"/>
      <c r="AB843" s="1622"/>
      <c r="AC843" s="1623"/>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671">
        <v>1</v>
      </c>
      <c r="U844" s="1536"/>
      <c r="V844" s="167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3" t="s">
        <v>2742</v>
      </c>
      <c r="N845" s="1604"/>
      <c r="O845" s="1604"/>
      <c r="P845" s="1604"/>
      <c r="Q845" s="1604"/>
      <c r="R845" s="1604"/>
      <c r="S845" s="1604"/>
      <c r="T845" s="1604"/>
      <c r="U845" s="1604"/>
      <c r="V845" s="1605"/>
      <c r="W845" s="1621">
        <f>2825+11000+31392+12064+25592+27327</f>
        <v>110200</v>
      </c>
      <c r="X845" s="1622"/>
      <c r="Y845" s="1622"/>
      <c r="Z845" s="1622"/>
      <c r="AA845" s="1622"/>
      <c r="AB845" s="1622"/>
      <c r="AC845" s="1623"/>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58">
        <f>SUM(W841:AC845)</f>
        <v>392000</v>
      </c>
      <c r="X846" s="1759"/>
      <c r="Y846" s="1759"/>
      <c r="Z846" s="1759"/>
      <c r="AA846" s="1759"/>
      <c r="AB846" s="1759"/>
      <c r="AC846" s="176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1">
        <v>176400</v>
      </c>
      <c r="X847" s="1622"/>
      <c r="Y847" s="1622"/>
      <c r="Z847" s="1622"/>
      <c r="AA847" s="1622"/>
      <c r="AB847" s="1622"/>
      <c r="AC847" s="1623"/>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09"/>
      <c r="X849" s="1609"/>
      <c r="Y849" s="1609"/>
      <c r="Z849" s="1609"/>
      <c r="AA849" s="1609"/>
      <c r="AB849" s="1609"/>
      <c r="AC849" s="1609"/>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09">
        <v>68600</v>
      </c>
      <c r="X850" s="1609"/>
      <c r="Y850" s="1609"/>
      <c r="Z850" s="1609"/>
      <c r="AA850" s="1609"/>
      <c r="AB850" s="1609"/>
      <c r="AC850" s="1609"/>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09"/>
      <c r="X851" s="1609"/>
      <c r="Y851" s="1609"/>
      <c r="Z851" s="1609"/>
      <c r="AA851" s="1609"/>
      <c r="AB851" s="1609"/>
      <c r="AC851" s="1609"/>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09"/>
      <c r="X852" s="1609"/>
      <c r="Y852" s="1609"/>
      <c r="Z852" s="1609"/>
      <c r="AA852" s="1609"/>
      <c r="AB852" s="1609"/>
      <c r="AC852" s="1609"/>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09">
        <v>58800</v>
      </c>
      <c r="X853" s="1609"/>
      <c r="Y853" s="1609"/>
      <c r="Z853" s="1609"/>
      <c r="AA853" s="1609"/>
      <c r="AB853" s="1609"/>
      <c r="AC853" s="160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09"/>
      <c r="X854" s="1609"/>
      <c r="Y854" s="1609"/>
      <c r="Z854" s="1609"/>
      <c r="AA854" s="1609"/>
      <c r="AB854" s="1609"/>
      <c r="AC854" s="160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3" t="s">
        <v>2743</v>
      </c>
      <c r="N855" s="1604"/>
      <c r="O855" s="1604"/>
      <c r="P855" s="1604"/>
      <c r="Q855" s="1604"/>
      <c r="R855" s="1604"/>
      <c r="S855" s="1604"/>
      <c r="T855" s="1604"/>
      <c r="U855" s="1604"/>
      <c r="V855" s="1605"/>
      <c r="W855" s="1609">
        <f>29400+58800</f>
        <v>88200</v>
      </c>
      <c r="X855" s="1609"/>
      <c r="Y855" s="1609"/>
      <c r="Z855" s="1609"/>
      <c r="AA855" s="1609"/>
      <c r="AB855" s="1609"/>
      <c r="AC855" s="1609"/>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3">
        <f>SUM(W849:AC855)</f>
        <v>215600</v>
      </c>
      <c r="X856" s="1633"/>
      <c r="Y856" s="1633"/>
      <c r="Z856" s="1633"/>
      <c r="AA856" s="1633"/>
      <c r="AB856" s="1633"/>
      <c r="AC856" s="163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3" t="s">
        <v>336</v>
      </c>
      <c r="N858" s="1604"/>
      <c r="O858" s="1604"/>
      <c r="P858" s="1604"/>
      <c r="Q858" s="1604"/>
      <c r="R858" s="1604"/>
      <c r="S858" s="1604"/>
      <c r="T858" s="1604"/>
      <c r="U858" s="1604"/>
      <c r="V858" s="1605"/>
      <c r="W858" s="1599"/>
      <c r="X858" s="1600"/>
      <c r="Y858" s="1600"/>
      <c r="Z858" s="1600"/>
      <c r="AA858" s="1600"/>
      <c r="AB858" s="1600"/>
      <c r="AC858" s="1601"/>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3" t="s">
        <v>336</v>
      </c>
      <c r="N859" s="1604"/>
      <c r="O859" s="1604"/>
      <c r="P859" s="1604"/>
      <c r="Q859" s="1604"/>
      <c r="R859" s="1604"/>
      <c r="S859" s="1604"/>
      <c r="T859" s="1604"/>
      <c r="U859" s="1604"/>
      <c r="V859" s="1605"/>
      <c r="W859" s="1599"/>
      <c r="X859" s="1600"/>
      <c r="Y859" s="1600"/>
      <c r="Z859" s="1600"/>
      <c r="AA859" s="1600"/>
      <c r="AB859" s="1600"/>
      <c r="AC859" s="1601"/>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3" t="s">
        <v>336</v>
      </c>
      <c r="N860" s="1604"/>
      <c r="O860" s="1604"/>
      <c r="P860" s="1604"/>
      <c r="Q860" s="1604"/>
      <c r="R860" s="1604"/>
      <c r="S860" s="1604"/>
      <c r="T860" s="1604"/>
      <c r="U860" s="1604"/>
      <c r="V860" s="1605"/>
      <c r="W860" s="1599"/>
      <c r="X860" s="1600"/>
      <c r="Y860" s="1600"/>
      <c r="Z860" s="1600"/>
      <c r="AA860" s="1600"/>
      <c r="AB860" s="1600"/>
      <c r="AC860" s="1601"/>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3" t="s">
        <v>336</v>
      </c>
      <c r="N861" s="1604"/>
      <c r="O861" s="1604"/>
      <c r="P861" s="1604"/>
      <c r="Q861" s="1604"/>
      <c r="R861" s="1604"/>
      <c r="S861" s="1604"/>
      <c r="T861" s="1604"/>
      <c r="U861" s="1604"/>
      <c r="V861" s="1605"/>
      <c r="W861" s="1599"/>
      <c r="X861" s="1600"/>
      <c r="Y861" s="1600"/>
      <c r="Z861" s="1600"/>
      <c r="AA861" s="1600"/>
      <c r="AB861" s="1600"/>
      <c r="AC861" s="1601"/>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3" t="s">
        <v>336</v>
      </c>
      <c r="N862" s="1604"/>
      <c r="O862" s="1604"/>
      <c r="P862" s="1604"/>
      <c r="Q862" s="1604"/>
      <c r="R862" s="1604"/>
      <c r="S862" s="1604"/>
      <c r="T862" s="1604"/>
      <c r="U862" s="1604"/>
      <c r="V862" s="1605"/>
      <c r="W862" s="1599"/>
      <c r="X862" s="1600"/>
      <c r="Y862" s="1600"/>
      <c r="Z862" s="1600"/>
      <c r="AA862" s="1600"/>
      <c r="AB862" s="1600"/>
      <c r="AC862" s="1601"/>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22">
        <f>SUM(W858:AC862)</f>
        <v>0</v>
      </c>
      <c r="X863" s="1523"/>
      <c r="Y863" s="1523"/>
      <c r="Z863" s="1523"/>
      <c r="AA863" s="1523"/>
      <c r="AB863" s="1523"/>
      <c r="AC863" s="152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6" t="s">
        <v>279</v>
      </c>
      <c r="AC867" s="1523">
        <f>W831+W839+W846+W847+W856+W863+W833</f>
        <v>1056518</v>
      </c>
      <c r="AD867" s="1523"/>
      <c r="AE867" s="1523"/>
      <c r="AF867" s="1523"/>
      <c r="AG867" s="1523"/>
      <c r="AH867" s="152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6" t="s">
        <v>521</v>
      </c>
      <c r="AC868" s="1669">
        <f>O782+O762+G739</f>
        <v>196</v>
      </c>
      <c r="AD868" s="1669"/>
      <c r="AE868" s="1669"/>
      <c r="AF868" s="1669"/>
      <c r="AG868" s="1669"/>
      <c r="AH868" s="167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67" t="s">
        <v>32</v>
      </c>
      <c r="F869" s="1667"/>
      <c r="G869" s="1667"/>
      <c r="H869" s="1667"/>
      <c r="I869" s="1667"/>
      <c r="J869" s="1667"/>
      <c r="K869" s="1667"/>
      <c r="L869" s="1667"/>
      <c r="M869" s="1667"/>
      <c r="N869" s="1667"/>
      <c r="O869" s="1667"/>
      <c r="P869" s="1667"/>
      <c r="Q869" s="1667"/>
      <c r="R869" s="1667"/>
      <c r="S869" s="1667"/>
      <c r="T869" s="1667"/>
      <c r="U869" s="1667"/>
      <c r="V869" s="1667"/>
      <c r="W869" s="1667"/>
      <c r="X869" s="1667"/>
      <c r="Y869" s="1667"/>
      <c r="Z869" s="1667"/>
      <c r="AA869" s="1667"/>
      <c r="AB869" s="1668"/>
      <c r="AC869" s="1633">
        <f>IF(ISERROR((ROUNDDOWN(AC867/AC868,0))),0,(ROUNDDOWN(AC867/AC868,0)))</f>
        <v>5390</v>
      </c>
      <c r="AD869" s="1633"/>
      <c r="AE869" s="1633"/>
      <c r="AF869" s="1633"/>
      <c r="AG869" s="1633"/>
      <c r="AH869" s="163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07">
        <v>751974</v>
      </c>
      <c r="AD870" s="1608"/>
      <c r="AE870" s="1608"/>
      <c r="AF870" s="1608"/>
      <c r="AG870" s="1608"/>
      <c r="AH870" s="160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1"/>
      <c r="AD871" s="1609"/>
      <c r="AE871" s="1609"/>
      <c r="AF871" s="1609"/>
      <c r="AG871" s="1609"/>
      <c r="AH871" s="160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0">
        <v>33000</v>
      </c>
      <c r="AD872" s="1600"/>
      <c r="AE872" s="1600"/>
      <c r="AF872" s="1600"/>
      <c r="AG872" s="1600"/>
      <c r="AH872" s="1601"/>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0">
        <v>49000</v>
      </c>
      <c r="AD873" s="1600"/>
      <c r="AE873" s="1600"/>
      <c r="AF873" s="1600"/>
      <c r="AG873" s="1600"/>
      <c r="AH873" s="1601"/>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81">
        <v>7500</v>
      </c>
      <c r="AD874" s="1582"/>
      <c r="AE874" s="1582"/>
      <c r="AF874" s="1582"/>
      <c r="AG874" s="1582"/>
      <c r="AH874" s="158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0"/>
      <c r="AD875" s="1600"/>
      <c r="AE875" s="1600"/>
      <c r="AF875" s="1600"/>
      <c r="AG875" s="1600"/>
      <c r="AH875" s="1601"/>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0"/>
      <c r="AD876" s="1600"/>
      <c r="AE876" s="1600"/>
      <c r="AF876" s="1600"/>
      <c r="AG876" s="1600"/>
      <c r="AH876" s="1601"/>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18" t="s">
        <v>997</v>
      </c>
      <c r="D877" s="1619"/>
      <c r="E877" s="1619"/>
      <c r="F877" s="1619"/>
      <c r="G877" s="1619"/>
      <c r="H877" s="1619"/>
      <c r="I877" s="1619"/>
      <c r="J877" s="1619"/>
      <c r="K877" s="1619"/>
      <c r="L877" s="1619"/>
      <c r="M877" s="1619"/>
      <c r="N877" s="1619"/>
      <c r="O877" s="1619"/>
      <c r="P877" s="1619"/>
      <c r="Q877" s="1619"/>
      <c r="R877" s="1619"/>
      <c r="S877" s="1619"/>
      <c r="T877" s="1619"/>
      <c r="U877" s="1619"/>
      <c r="V877" s="1619"/>
      <c r="W877" s="1619"/>
      <c r="X877" s="1619"/>
      <c r="Y877" s="1619"/>
      <c r="Z877" s="1619"/>
      <c r="AA877" s="1619"/>
      <c r="AB877" s="1620"/>
      <c r="AC877" s="1609"/>
      <c r="AD877" s="1609"/>
      <c r="AE877" s="1609"/>
      <c r="AF877" s="1609"/>
      <c r="AG877" s="1609"/>
      <c r="AH877" s="160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18" t="s">
        <v>997</v>
      </c>
      <c r="D878" s="1619"/>
      <c r="E878" s="1619"/>
      <c r="F878" s="1619"/>
      <c r="G878" s="1619"/>
      <c r="H878" s="1619"/>
      <c r="I878" s="1619"/>
      <c r="J878" s="1619"/>
      <c r="K878" s="1619"/>
      <c r="L878" s="1619"/>
      <c r="M878" s="1619"/>
      <c r="N878" s="1619"/>
      <c r="O878" s="1619"/>
      <c r="P878" s="1619"/>
      <c r="Q878" s="1619"/>
      <c r="R878" s="1619"/>
      <c r="S878" s="1619"/>
      <c r="T878" s="1619"/>
      <c r="U878" s="1619"/>
      <c r="V878" s="1619"/>
      <c r="W878" s="1619"/>
      <c r="X878" s="1619"/>
      <c r="Y878" s="1619"/>
      <c r="Z878" s="1619"/>
      <c r="AA878" s="1619"/>
      <c r="AB878" s="1620"/>
      <c r="AC878" s="1609"/>
      <c r="AD878" s="1609"/>
      <c r="AE878" s="1609"/>
      <c r="AF878" s="1609"/>
      <c r="AG878" s="1609"/>
      <c r="AH878" s="160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599"/>
      <c r="AA882" s="1600"/>
      <c r="AB882" s="1600"/>
      <c r="AC882" s="1600"/>
      <c r="AD882" s="1600"/>
      <c r="AE882" s="1601"/>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599"/>
      <c r="AA883" s="1600"/>
      <c r="AB883" s="1600"/>
      <c r="AC883" s="1600"/>
      <c r="AD883" s="1600"/>
      <c r="AE883" s="1601"/>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599"/>
      <c r="AA884" s="1600"/>
      <c r="AB884" s="1600"/>
      <c r="AC884" s="1600"/>
      <c r="AD884" s="1600"/>
      <c r="AE884" s="1601"/>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22">
        <f>Z882-(Z883+Z884)</f>
        <v>0</v>
      </c>
      <c r="AA885" s="1523"/>
      <c r="AB885" s="1523"/>
      <c r="AC885" s="1523"/>
      <c r="AD885" s="1523"/>
      <c r="AE885" s="152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30"/>
      <c r="BE887" s="163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30"/>
      <c r="BE888" s="163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31"/>
      <c r="BE889" s="163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31"/>
      <c r="BE890" s="163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31"/>
      <c r="BE891" s="163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30"/>
      <c r="BE892" s="163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6" t="s">
        <v>97</v>
      </c>
      <c r="B893" s="1446"/>
      <c r="C893" s="1446"/>
      <c r="D893" s="1446"/>
      <c r="E893" s="1446"/>
      <c r="F893" s="1446"/>
      <c r="G893" s="1446"/>
      <c r="H893" s="1446"/>
      <c r="I893" s="1446"/>
      <c r="J893" s="1446"/>
      <c r="K893" s="1446"/>
      <c r="L893" s="1446"/>
      <c r="M893" s="1446"/>
      <c r="N893" s="1446"/>
      <c r="O893" s="1446"/>
      <c r="P893" s="1446"/>
      <c r="Q893" s="1446"/>
      <c r="R893" s="1446"/>
      <c r="S893" s="1446"/>
      <c r="T893" s="1446"/>
      <c r="U893" s="1446"/>
      <c r="V893" s="1446"/>
      <c r="W893" s="1446"/>
      <c r="X893" s="1446"/>
      <c r="Y893" s="1446"/>
      <c r="Z893" s="1446"/>
      <c r="AA893" s="1446"/>
      <c r="AB893" s="1446"/>
      <c r="AC893" s="1446"/>
      <c r="AD893" s="1446"/>
      <c r="AE893" s="1446"/>
      <c r="AF893" s="1446"/>
      <c r="AG893" s="1446"/>
      <c r="AH893" s="1446"/>
      <c r="AI893" s="1446"/>
      <c r="AJ893" s="1446"/>
      <c r="AK893" s="1446"/>
      <c r="AL893" s="1446"/>
      <c r="AM893" s="95"/>
      <c r="AN893" s="95"/>
      <c r="AO893" s="95"/>
      <c r="AP893" s="95"/>
      <c r="AQ893" s="95"/>
      <c r="AR893" s="95"/>
      <c r="AS893" s="95"/>
      <c r="AT893" s="95"/>
      <c r="AU893" s="95"/>
      <c r="AV893" s="95"/>
      <c r="AW893" s="95"/>
      <c r="AX893" s="95"/>
      <c r="AY893" s="95"/>
      <c r="AZ893" s="34"/>
      <c r="BB893" s="30"/>
      <c r="BC893" s="852"/>
      <c r="BD893" s="1629"/>
      <c r="BE893" s="1629"/>
      <c r="BF893" s="162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7"/>
      <c r="B894" s="1447"/>
      <c r="C894" s="1447"/>
      <c r="D894" s="1447"/>
      <c r="E894" s="1447"/>
      <c r="F894" s="1447"/>
      <c r="G894" s="1447"/>
      <c r="H894" s="1447"/>
      <c r="I894" s="1447"/>
      <c r="J894" s="1447"/>
      <c r="K894" s="1447"/>
      <c r="L894" s="1447"/>
      <c r="M894" s="1447"/>
      <c r="N894" s="1447"/>
      <c r="O894" s="1447"/>
      <c r="P894" s="1447"/>
      <c r="Q894" s="1447"/>
      <c r="R894" s="1447"/>
      <c r="S894" s="1447"/>
      <c r="T894" s="1447"/>
      <c r="U894" s="1447"/>
      <c r="V894" s="1447"/>
      <c r="W894" s="1447"/>
      <c r="X894" s="1447"/>
      <c r="Y894" s="1447"/>
      <c r="Z894" s="1447"/>
      <c r="AA894" s="1447"/>
      <c r="AB894" s="1447"/>
      <c r="AC894" s="1447"/>
      <c r="AD894" s="1447"/>
      <c r="AE894" s="1447"/>
      <c r="AF894" s="1447"/>
      <c r="AG894" s="1447"/>
      <c r="AH894" s="1447"/>
      <c r="AI894" s="1447"/>
      <c r="AJ894" s="1447"/>
      <c r="AK894" s="1447"/>
      <c r="AL894" s="1447"/>
      <c r="AM894" s="95"/>
      <c r="AN894" s="95"/>
      <c r="AO894" s="95"/>
      <c r="AP894" s="95"/>
      <c r="AQ894" s="95"/>
      <c r="AR894" s="95"/>
      <c r="AS894" s="95"/>
      <c r="AT894" s="95"/>
      <c r="AU894" s="95"/>
      <c r="AV894" s="95"/>
      <c r="AW894" s="95"/>
      <c r="AX894" s="95"/>
      <c r="AY894" s="95"/>
      <c r="AZ894" s="34"/>
      <c r="BB894" s="30"/>
      <c r="BC894" s="852"/>
      <c r="BD894" s="1632"/>
      <c r="BE894" s="1632"/>
      <c r="BF894" s="163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31"/>
      <c r="BE895" s="163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30"/>
      <c r="BE896" s="163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20" t="s">
        <v>817</v>
      </c>
      <c r="G898" s="1821"/>
      <c r="H898" s="1821"/>
      <c r="I898" s="1821"/>
      <c r="J898" s="1821"/>
      <c r="K898" s="1821"/>
      <c r="L898" s="1821"/>
      <c r="M898" s="1821"/>
      <c r="N898" s="1821"/>
      <c r="O898" s="1821"/>
      <c r="P898" s="1821"/>
      <c r="Q898" s="1821"/>
      <c r="R898" s="1821"/>
      <c r="S898" s="1821"/>
      <c r="T898" s="1822"/>
      <c r="U898" s="1816" t="s">
        <v>31</v>
      </c>
      <c r="V898" s="1593"/>
      <c r="W898" s="1593"/>
      <c r="X898" s="1593"/>
      <c r="Y898" s="1593"/>
      <c r="Z898" s="1593"/>
      <c r="AA898" s="43"/>
      <c r="AB898" s="105"/>
      <c r="AC898" s="105"/>
      <c r="AD898" s="105"/>
      <c r="AE898" s="105"/>
      <c r="AF898" s="106"/>
      <c r="AZ898" s="34"/>
      <c r="BA898" s="34"/>
      <c r="BB898" s="30"/>
      <c r="BC898" s="30"/>
      <c r="BD898" s="1630"/>
      <c r="BE898" s="1631"/>
      <c r="BF898" s="945"/>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1" t="s">
        <v>845</v>
      </c>
      <c r="G899" s="1652"/>
      <c r="H899" s="1652"/>
      <c r="I899" s="1652"/>
      <c r="J899" s="1652"/>
      <c r="K899" s="1652"/>
      <c r="L899" s="1652"/>
      <c r="M899" s="1652"/>
      <c r="N899" s="1652"/>
      <c r="O899" s="1652"/>
      <c r="P899" s="1652"/>
      <c r="Q899" s="1652"/>
      <c r="R899" s="1652"/>
      <c r="S899" s="1652"/>
      <c r="T899" s="1653"/>
      <c r="U899" s="1651"/>
      <c r="V899" s="1652"/>
      <c r="W899" s="1652"/>
      <c r="X899" s="1652"/>
      <c r="Y899" s="1652"/>
      <c r="Z899" s="165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54"/>
      <c r="G900" s="1595"/>
      <c r="H900" s="1595"/>
      <c r="I900" s="1595"/>
      <c r="J900" s="1595"/>
      <c r="K900" s="1595"/>
      <c r="L900" s="1595"/>
      <c r="M900" s="1595"/>
      <c r="N900" s="1595"/>
      <c r="O900" s="1595"/>
      <c r="P900" s="1595"/>
      <c r="Q900" s="1595"/>
      <c r="R900" s="1595"/>
      <c r="S900" s="1595"/>
      <c r="T900" s="1596"/>
      <c r="U900" s="1654"/>
      <c r="V900" s="1595"/>
      <c r="W900" s="1595"/>
      <c r="X900" s="1595"/>
      <c r="Y900" s="1595"/>
      <c r="Z900" s="1595"/>
      <c r="AA900" s="108"/>
      <c r="AB900" s="1465" t="s">
        <v>393</v>
      </c>
      <c r="AC900" s="1465"/>
      <c r="AD900" s="1465"/>
      <c r="AE900" s="146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38" t="s">
        <v>555</v>
      </c>
      <c r="V901" s="1363"/>
      <c r="W901" s="1363"/>
      <c r="X901" s="1363"/>
      <c r="Y901" s="1363"/>
      <c r="Z901" s="1364"/>
      <c r="AA901" s="1634">
        <f>AM550</f>
        <v>35000000</v>
      </c>
      <c r="AB901" s="1442"/>
      <c r="AC901" s="1442"/>
      <c r="AD901" s="1442"/>
      <c r="AE901" s="1442"/>
      <c r="AF901" s="1635"/>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38" t="s">
        <v>679</v>
      </c>
      <c r="V902" s="1363"/>
      <c r="W902" s="1363"/>
      <c r="X902" s="1363"/>
      <c r="Y902" s="1363"/>
      <c r="Z902" s="1364"/>
      <c r="AA902" s="1634"/>
      <c r="AB902" s="1442"/>
      <c r="AC902" s="1442"/>
      <c r="AD902" s="1442"/>
      <c r="AE902" s="1442"/>
      <c r="AF902" s="1635"/>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38" t="s">
        <v>601</v>
      </c>
      <c r="V903" s="1363"/>
      <c r="W903" s="1363"/>
      <c r="X903" s="1363"/>
      <c r="Y903" s="1363"/>
      <c r="Z903" s="1364"/>
      <c r="AA903" s="1634"/>
      <c r="AB903" s="1442"/>
      <c r="AC903" s="1442"/>
      <c r="AD903" s="1442"/>
      <c r="AE903" s="1442"/>
      <c r="AF903" s="1635"/>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38" t="s">
        <v>601</v>
      </c>
      <c r="V904" s="1363"/>
      <c r="W904" s="1363"/>
      <c r="X904" s="1363"/>
      <c r="Y904" s="1363"/>
      <c r="Z904" s="1364"/>
      <c r="AA904" s="1634"/>
      <c r="AB904" s="1442"/>
      <c r="AC904" s="1442"/>
      <c r="AD904" s="1442"/>
      <c r="AE904" s="1442"/>
      <c r="AF904" s="1635"/>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38" t="s">
        <v>601</v>
      </c>
      <c r="V905" s="1363"/>
      <c r="W905" s="1363"/>
      <c r="X905" s="1363"/>
      <c r="Y905" s="1363"/>
      <c r="Z905" s="1364"/>
      <c r="AA905" s="1634"/>
      <c r="AB905" s="1442"/>
      <c r="AC905" s="1442"/>
      <c r="AD905" s="1442"/>
      <c r="AE905" s="1442"/>
      <c r="AF905" s="1635"/>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38" t="s">
        <v>601</v>
      </c>
      <c r="V906" s="1363"/>
      <c r="W906" s="1363"/>
      <c r="X906" s="1363"/>
      <c r="Y906" s="1363"/>
      <c r="Z906" s="1364"/>
      <c r="AA906" s="1634"/>
      <c r="AB906" s="1442"/>
      <c r="AC906" s="1442"/>
      <c r="AD906" s="1442"/>
      <c r="AE906" s="1442"/>
      <c r="AF906" s="1635"/>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38" t="s">
        <v>601</v>
      </c>
      <c r="V907" s="1363"/>
      <c r="W907" s="1363"/>
      <c r="X907" s="1363"/>
      <c r="Y907" s="1363"/>
      <c r="Z907" s="1364"/>
      <c r="AA907" s="1634"/>
      <c r="AB907" s="1442"/>
      <c r="AC907" s="1442"/>
      <c r="AD907" s="1442"/>
      <c r="AE907" s="1442"/>
      <c r="AF907" s="1635"/>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38" t="s">
        <v>601</v>
      </c>
      <c r="V908" s="1363"/>
      <c r="W908" s="1363"/>
      <c r="X908" s="1363"/>
      <c r="Y908" s="1363"/>
      <c r="Z908" s="1364"/>
      <c r="AA908" s="1634"/>
      <c r="AB908" s="1442"/>
      <c r="AC908" s="1442"/>
      <c r="AD908" s="1442"/>
      <c r="AE908" s="1442"/>
      <c r="AF908" s="1635"/>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38" t="s">
        <v>601</v>
      </c>
      <c r="V909" s="1363"/>
      <c r="W909" s="1363"/>
      <c r="X909" s="1363"/>
      <c r="Y909" s="1363"/>
      <c r="Z909" s="1364"/>
      <c r="AA909" s="1634"/>
      <c r="AB909" s="1442"/>
      <c r="AC909" s="1442"/>
      <c r="AD909" s="1442"/>
      <c r="AE909" s="1442"/>
      <c r="AF909" s="1635"/>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38" t="s">
        <v>601</v>
      </c>
      <c r="V910" s="1363"/>
      <c r="W910" s="1363"/>
      <c r="X910" s="1363"/>
      <c r="Y910" s="1363"/>
      <c r="Z910" s="1364"/>
      <c r="AA910" s="1634"/>
      <c r="AB910" s="1442"/>
      <c r="AC910" s="1442"/>
      <c r="AD910" s="1442"/>
      <c r="AE910" s="1442"/>
      <c r="AF910" s="163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638" t="s">
        <v>555</v>
      </c>
      <c r="V911" s="1363"/>
      <c r="W911" s="1363"/>
      <c r="X911" s="1363"/>
      <c r="Y911" s="1363"/>
      <c r="Z911" s="1364"/>
      <c r="AA911" s="1634">
        <f>AO624</f>
        <v>1600000</v>
      </c>
      <c r="AB911" s="1442"/>
      <c r="AC911" s="1442"/>
      <c r="AD911" s="1442"/>
      <c r="AE911" s="1442"/>
      <c r="AF911" s="163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38" t="s">
        <v>601</v>
      </c>
      <c r="V912" s="1363"/>
      <c r="W912" s="1363"/>
      <c r="X912" s="1363"/>
      <c r="Y912" s="1363"/>
      <c r="Z912" s="1364"/>
      <c r="AA912" s="1634"/>
      <c r="AB912" s="1442"/>
      <c r="AC912" s="1442"/>
      <c r="AD912" s="1442"/>
      <c r="AE912" s="1442"/>
      <c r="AF912" s="1635"/>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38" t="s">
        <v>601</v>
      </c>
      <c r="V913" s="1363"/>
      <c r="W913" s="1363"/>
      <c r="X913" s="1363"/>
      <c r="Y913" s="1363"/>
      <c r="Z913" s="1364"/>
      <c r="AA913" s="1634"/>
      <c r="AB913" s="1442"/>
      <c r="AC913" s="1442"/>
      <c r="AD913" s="1442"/>
      <c r="AE913" s="1442"/>
      <c r="AF913" s="1635"/>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38" t="s">
        <v>601</v>
      </c>
      <c r="V914" s="1363"/>
      <c r="W914" s="1363"/>
      <c r="X914" s="1363"/>
      <c r="Y914" s="1363"/>
      <c r="Z914" s="1364"/>
      <c r="AA914" s="1634"/>
      <c r="AB914" s="1442"/>
      <c r="AC914" s="1442"/>
      <c r="AD914" s="1442"/>
      <c r="AE914" s="1442"/>
      <c r="AF914" s="1635"/>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38" t="s">
        <v>601</v>
      </c>
      <c r="V915" s="1363"/>
      <c r="W915" s="1363"/>
      <c r="X915" s="1363"/>
      <c r="Y915" s="1363"/>
      <c r="Z915" s="1364"/>
      <c r="AA915" s="1634"/>
      <c r="AB915" s="1442"/>
      <c r="AC915" s="1442"/>
      <c r="AD915" s="1442"/>
      <c r="AE915" s="1442"/>
      <c r="AF915" s="1635"/>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38" t="s">
        <v>679</v>
      </c>
      <c r="Q916" s="1363"/>
      <c r="R916" s="1363"/>
      <c r="S916" s="1363"/>
      <c r="T916" s="1364"/>
      <c r="U916" s="1638" t="s">
        <v>601</v>
      </c>
      <c r="V916" s="1363"/>
      <c r="W916" s="1363"/>
      <c r="X916" s="1363"/>
      <c r="Y916" s="1363"/>
      <c r="Z916" s="1364"/>
      <c r="AA916" s="1634"/>
      <c r="AB916" s="1442"/>
      <c r="AC916" s="1442"/>
      <c r="AD916" s="1442"/>
      <c r="AE916" s="1442"/>
      <c r="AF916" s="1635"/>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3" t="s">
        <v>336</v>
      </c>
      <c r="J917" s="1604"/>
      <c r="K917" s="1604"/>
      <c r="L917" s="1604"/>
      <c r="M917" s="1604"/>
      <c r="N917" s="1604"/>
      <c r="O917" s="1604"/>
      <c r="P917" s="1604"/>
      <c r="Q917" s="1604"/>
      <c r="R917" s="1604"/>
      <c r="S917" s="1604"/>
      <c r="T917" s="1605"/>
      <c r="U917" s="1638" t="s">
        <v>601</v>
      </c>
      <c r="V917" s="1363"/>
      <c r="W917" s="1363"/>
      <c r="X917" s="1363"/>
      <c r="Y917" s="1363"/>
      <c r="Z917" s="1364"/>
      <c r="AA917" s="1634"/>
      <c r="AB917" s="1442"/>
      <c r="AC917" s="1442"/>
      <c r="AD917" s="1442"/>
      <c r="AE917" s="1442"/>
      <c r="AF917" s="1635"/>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48" t="s">
        <v>336</v>
      </c>
      <c r="J918" s="1649"/>
      <c r="K918" s="1649"/>
      <c r="L918" s="1649"/>
      <c r="M918" s="1649"/>
      <c r="N918" s="1649"/>
      <c r="O918" s="1649"/>
      <c r="P918" s="1649"/>
      <c r="Q918" s="1649"/>
      <c r="R918" s="1649"/>
      <c r="S918" s="1649"/>
      <c r="T918" s="1650"/>
      <c r="U918" s="1638" t="s">
        <v>601</v>
      </c>
      <c r="V918" s="1363"/>
      <c r="W918" s="1363"/>
      <c r="X918" s="1363"/>
      <c r="Y918" s="1363"/>
      <c r="Z918" s="1364"/>
      <c r="AA918" s="1634"/>
      <c r="AB918" s="1442"/>
      <c r="AC918" s="1442"/>
      <c r="AD918" s="1442"/>
      <c r="AE918" s="1442"/>
      <c r="AF918" s="1635"/>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48" t="s">
        <v>336</v>
      </c>
      <c r="J919" s="1649"/>
      <c r="K919" s="1649"/>
      <c r="L919" s="1649"/>
      <c r="M919" s="1649"/>
      <c r="N919" s="1649"/>
      <c r="O919" s="1649"/>
      <c r="P919" s="1649"/>
      <c r="Q919" s="1649"/>
      <c r="R919" s="1649"/>
      <c r="S919" s="1649"/>
      <c r="T919" s="1650"/>
      <c r="U919" s="1638" t="s">
        <v>601</v>
      </c>
      <c r="V919" s="1363"/>
      <c r="W919" s="1363"/>
      <c r="X919" s="1363"/>
      <c r="Y919" s="1363"/>
      <c r="Z919" s="1364"/>
      <c r="AA919" s="1634"/>
      <c r="AB919" s="1442"/>
      <c r="AC919" s="1442"/>
      <c r="AD919" s="1442"/>
      <c r="AE919" s="1442"/>
      <c r="AF919" s="163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48" t="s">
        <v>336</v>
      </c>
      <c r="J920" s="1649"/>
      <c r="K920" s="1649"/>
      <c r="L920" s="1649"/>
      <c r="M920" s="1649"/>
      <c r="N920" s="1649"/>
      <c r="O920" s="1649"/>
      <c r="P920" s="1649"/>
      <c r="Q920" s="1649"/>
      <c r="R920" s="1649"/>
      <c r="S920" s="1649"/>
      <c r="T920" s="1650"/>
      <c r="U920" s="1638" t="s">
        <v>601</v>
      </c>
      <c r="V920" s="1363"/>
      <c r="W920" s="1363"/>
      <c r="X920" s="1363"/>
      <c r="Y920" s="1363"/>
      <c r="Z920" s="1364"/>
      <c r="AA920" s="1634"/>
      <c r="AB920" s="1442"/>
      <c r="AC920" s="1442"/>
      <c r="AD920" s="1442"/>
      <c r="AE920" s="1442"/>
      <c r="AF920" s="163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47"/>
      <c r="N925" s="1587"/>
      <c r="O925" s="1587"/>
      <c r="P925" s="1587"/>
      <c r="Q925" s="1587"/>
      <c r="R925" s="1587"/>
      <c r="S925" s="1616"/>
      <c r="U925" s="66" t="s">
        <v>11</v>
      </c>
      <c r="V925" s="5"/>
      <c r="W925" s="5"/>
      <c r="X925" s="5"/>
      <c r="Y925" s="5"/>
      <c r="Z925" s="5"/>
      <c r="AA925" s="5"/>
      <c r="AB925" s="5"/>
      <c r="AC925" s="5"/>
      <c r="AD925" s="46"/>
      <c r="AE925" s="1647"/>
      <c r="AF925" s="1587"/>
      <c r="AG925" s="1587"/>
      <c r="AH925" s="1587"/>
      <c r="AI925" s="1587"/>
      <c r="AJ925" s="1587"/>
      <c r="AK925" s="161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6"/>
      <c r="N926" s="1390"/>
      <c r="O926" s="1390"/>
      <c r="P926" s="1390"/>
      <c r="Q926" s="1390"/>
      <c r="R926" s="1390"/>
      <c r="S926" s="1637"/>
      <c r="U926" s="66" t="s">
        <v>12</v>
      </c>
      <c r="V926" s="5"/>
      <c r="W926" s="5"/>
      <c r="X926" s="5"/>
      <c r="Y926" s="5"/>
      <c r="Z926" s="5"/>
      <c r="AA926" s="5"/>
      <c r="AB926" s="5"/>
      <c r="AC926" s="5"/>
      <c r="AD926" s="46"/>
      <c r="AE926" s="1636"/>
      <c r="AF926" s="1390"/>
      <c r="AG926" s="1390"/>
      <c r="AH926" s="1390"/>
      <c r="AI926" s="1390"/>
      <c r="AJ926" s="1390"/>
      <c r="AK926" s="163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39" t="s">
        <v>309</v>
      </c>
      <c r="K927" s="1640"/>
      <c r="L927" s="1640"/>
      <c r="M927" s="1640"/>
      <c r="N927" s="1640"/>
      <c r="O927" s="1640"/>
      <c r="P927" s="1640"/>
      <c r="Q927" s="1640"/>
      <c r="R927" s="1640"/>
      <c r="S927" s="1641"/>
      <c r="U927" s="66" t="s">
        <v>910</v>
      </c>
      <c r="V927" s="5"/>
      <c r="W927" s="5"/>
      <c r="AB927" s="1639" t="s">
        <v>309</v>
      </c>
      <c r="AC927" s="1640"/>
      <c r="AD927" s="1640"/>
      <c r="AE927" s="1640"/>
      <c r="AF927" s="1640"/>
      <c r="AG927" s="1640"/>
      <c r="AH927" s="1640"/>
      <c r="AI927" s="1640"/>
      <c r="AJ927" s="1640"/>
      <c r="AK927" s="164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09"/>
      <c r="N928" s="1681"/>
      <c r="O928" s="1681"/>
      <c r="P928" s="1681"/>
      <c r="Q928" s="1681"/>
      <c r="R928" s="1681"/>
      <c r="S928" s="1682"/>
      <c r="U928" s="66" t="s">
        <v>13</v>
      </c>
      <c r="V928" s="5"/>
      <c r="W928" s="5"/>
      <c r="X928" s="5"/>
      <c r="Y928" s="5"/>
      <c r="Z928" s="5"/>
      <c r="AA928" s="5"/>
      <c r="AB928" s="5"/>
      <c r="AC928" s="5"/>
      <c r="AD928" s="46"/>
      <c r="AE928" s="1680"/>
      <c r="AF928" s="1681"/>
      <c r="AG928" s="1681"/>
      <c r="AH928" s="1681"/>
      <c r="AI928" s="1681"/>
      <c r="AJ928" s="1681"/>
      <c r="AK928" s="168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24"/>
      <c r="N929" s="1625"/>
      <c r="O929" s="1625"/>
      <c r="P929" s="1625"/>
      <c r="Q929" s="1625"/>
      <c r="R929" s="1625"/>
      <c r="S929" s="1626"/>
      <c r="U929" s="66" t="s">
        <v>14</v>
      </c>
      <c r="V929" s="5"/>
      <c r="W929" s="5"/>
      <c r="X929" s="5"/>
      <c r="Y929" s="5"/>
      <c r="Z929" s="5"/>
      <c r="AA929" s="5"/>
      <c r="AB929" s="5"/>
      <c r="AC929" s="5"/>
      <c r="AD929" s="46"/>
      <c r="AE929" s="1624"/>
      <c r="AF929" s="1625"/>
      <c r="AG929" s="1625"/>
      <c r="AH929" s="1625"/>
      <c r="AI929" s="1625"/>
      <c r="AJ929" s="1625"/>
      <c r="AK929" s="162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34"/>
      <c r="N930" s="1442"/>
      <c r="O930" s="1442"/>
      <c r="P930" s="1442"/>
      <c r="Q930" s="1442"/>
      <c r="R930" s="1442"/>
      <c r="S930" s="1635"/>
      <c r="U930" s="66" t="s">
        <v>15</v>
      </c>
      <c r="V930" s="5"/>
      <c r="W930" s="5"/>
      <c r="X930" s="5"/>
      <c r="Y930" s="5"/>
      <c r="Z930" s="5"/>
      <c r="AA930" s="5"/>
      <c r="AB930" s="5"/>
      <c r="AC930" s="5"/>
      <c r="AD930" s="46"/>
      <c r="AE930" s="1634"/>
      <c r="AF930" s="1442"/>
      <c r="AG930" s="1442"/>
      <c r="AH930" s="1442"/>
      <c r="AI930" s="1442"/>
      <c r="AJ930" s="1442"/>
      <c r="AK930" s="1635"/>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34"/>
      <c r="N931" s="1442"/>
      <c r="O931" s="1442"/>
      <c r="P931" s="1442"/>
      <c r="Q931" s="1442"/>
      <c r="R931" s="1442"/>
      <c r="S931" s="1635"/>
      <c r="U931" s="66" t="s">
        <v>16</v>
      </c>
      <c r="V931" s="5"/>
      <c r="W931" s="5"/>
      <c r="X931" s="5"/>
      <c r="Y931" s="5"/>
      <c r="Z931" s="5"/>
      <c r="AA931" s="5"/>
      <c r="AB931" s="5"/>
      <c r="AC931" s="5"/>
      <c r="AD931" s="46"/>
      <c r="AE931" s="1634"/>
      <c r="AF931" s="1442"/>
      <c r="AG931" s="1442"/>
      <c r="AH931" s="1442"/>
      <c r="AI931" s="1442"/>
      <c r="AJ931" s="1442"/>
      <c r="AK931" s="1635"/>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677"/>
      <c r="N932" s="1678"/>
      <c r="O932" s="1678"/>
      <c r="P932" s="1678"/>
      <c r="Q932" s="1678"/>
      <c r="R932" s="1678"/>
      <c r="S932" s="1679"/>
      <c r="U932" s="121" t="s">
        <v>1844</v>
      </c>
      <c r="V932" s="5"/>
      <c r="W932" s="5"/>
      <c r="X932" s="5"/>
      <c r="Y932" s="5"/>
      <c r="Z932" s="5"/>
      <c r="AA932" s="5"/>
      <c r="AB932" s="5"/>
      <c r="AC932" s="5"/>
      <c r="AD932" s="46"/>
      <c r="AE932" s="1677"/>
      <c r="AF932" s="1678"/>
      <c r="AG932" s="1678"/>
      <c r="AH932" s="1678"/>
      <c r="AI932" s="1678"/>
      <c r="AJ932" s="1678"/>
      <c r="AK932" s="167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42"/>
      <c r="N937" s="1586"/>
      <c r="O937" s="1586"/>
      <c r="P937" s="1586"/>
      <c r="Q937" s="1586"/>
      <c r="R937" s="1586"/>
      <c r="S937" s="1643"/>
      <c r="T937" s="66" t="s">
        <v>815</v>
      </c>
      <c r="U937" s="5"/>
      <c r="V937" s="5"/>
      <c r="W937" s="5"/>
      <c r="X937" s="5"/>
      <c r="Y937" s="5"/>
      <c r="Z937" s="46"/>
      <c r="AA937" s="1642"/>
      <c r="AB937" s="1586"/>
      <c r="AC937" s="1586"/>
      <c r="AD937" s="1586"/>
      <c r="AE937" s="1586"/>
      <c r="AF937" s="1586"/>
      <c r="AG937" s="16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42"/>
      <c r="N938" s="1586"/>
      <c r="O938" s="1586"/>
      <c r="P938" s="1586"/>
      <c r="Q938" s="1586"/>
      <c r="R938" s="1586"/>
      <c r="S938" s="1643"/>
      <c r="T938" s="66" t="s">
        <v>814</v>
      </c>
      <c r="U938" s="5"/>
      <c r="V938" s="5"/>
      <c r="W938" s="5"/>
      <c r="X938" s="5"/>
      <c r="Y938" s="5"/>
      <c r="Z938" s="46"/>
      <c r="AA938" s="1642"/>
      <c r="AB938" s="1586"/>
      <c r="AC938" s="1586"/>
      <c r="AD938" s="1586"/>
      <c r="AE938" s="1586"/>
      <c r="AF938" s="1586"/>
      <c r="AG938" s="16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74" t="s">
        <v>601</v>
      </c>
      <c r="N939" s="1675"/>
      <c r="O939" s="1675"/>
      <c r="P939" s="1675"/>
      <c r="Q939" s="1675"/>
      <c r="R939" s="1675"/>
      <c r="S939" s="1676"/>
      <c r="T939" s="45" t="s">
        <v>339</v>
      </c>
      <c r="U939" s="5"/>
      <c r="V939" s="5"/>
      <c r="W939" s="5"/>
      <c r="X939" s="5"/>
      <c r="Y939" s="5"/>
      <c r="Z939" s="46"/>
      <c r="AA939" s="1642"/>
      <c r="AB939" s="1586"/>
      <c r="AC939" s="1586"/>
      <c r="AD939" s="1586"/>
      <c r="AE939" s="1586"/>
      <c r="AF939" s="1586"/>
      <c r="AG939" s="16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42"/>
      <c r="N940" s="1586"/>
      <c r="O940" s="1586"/>
      <c r="P940" s="1586"/>
      <c r="Q940" s="1586"/>
      <c r="R940" s="1586"/>
      <c r="S940" s="1643"/>
      <c r="T940" s="45" t="s">
        <v>340</v>
      </c>
      <c r="U940" s="5"/>
      <c r="V940" s="5"/>
      <c r="W940" s="5"/>
      <c r="X940" s="5"/>
      <c r="Y940" s="5"/>
      <c r="Z940" s="46"/>
      <c r="AA940" s="1642"/>
      <c r="AB940" s="1586"/>
      <c r="AC940" s="1586"/>
      <c r="AD940" s="1586"/>
      <c r="AE940" s="1586"/>
      <c r="AF940" s="1586"/>
      <c r="AG940" s="16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42"/>
      <c r="N941" s="1586"/>
      <c r="O941" s="1586"/>
      <c r="P941" s="1586"/>
      <c r="Q941" s="1586"/>
      <c r="R941" s="1586"/>
      <c r="S941" s="1643"/>
      <c r="T941" s="45" t="s">
        <v>378</v>
      </c>
      <c r="U941" s="5"/>
      <c r="V941" s="5"/>
      <c r="W941" s="5"/>
      <c r="X941" s="5"/>
      <c r="Y941" s="5"/>
      <c r="Z941" s="46"/>
      <c r="AA941" s="1642"/>
      <c r="AB941" s="1586"/>
      <c r="AC941" s="1586"/>
      <c r="AD941" s="1586"/>
      <c r="AE941" s="1586"/>
      <c r="AF941" s="1586"/>
      <c r="AG941" s="16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61" t="s">
        <v>309</v>
      </c>
      <c r="N942" s="1662"/>
      <c r="O942" s="1662"/>
      <c r="P942" s="1662"/>
      <c r="Q942" s="1662"/>
      <c r="R942" s="1662"/>
      <c r="S942" s="1663"/>
      <c r="T942" s="1644"/>
      <c r="U942" s="1645"/>
      <c r="V942" s="1645"/>
      <c r="W942" s="1645"/>
      <c r="X942" s="1645"/>
      <c r="Y942" s="1645"/>
      <c r="Z942" s="1646"/>
      <c r="AA942" s="1642"/>
      <c r="AB942" s="1586"/>
      <c r="AC942" s="1586"/>
      <c r="AD942" s="1586"/>
      <c r="AE942" s="1586"/>
      <c r="AF942" s="1586"/>
      <c r="AG942" s="16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42"/>
      <c r="N943" s="1586"/>
      <c r="O943" s="1586"/>
      <c r="P943" s="1586"/>
      <c r="Q943" s="1586"/>
      <c r="R943" s="1586"/>
      <c r="S943" s="1643"/>
      <c r="T943" s="1644"/>
      <c r="U943" s="1645"/>
      <c r="V943" s="1645"/>
      <c r="W943" s="1645"/>
      <c r="X943" s="1645"/>
      <c r="Y943" s="1645"/>
      <c r="Z943" s="1646"/>
      <c r="AA943" s="1642"/>
      <c r="AB943" s="1586"/>
      <c r="AC943" s="1586"/>
      <c r="AD943" s="1586"/>
      <c r="AE943" s="1586"/>
      <c r="AF943" s="1586"/>
      <c r="AG943" s="16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73" t="s">
        <v>679</v>
      </c>
      <c r="P944" s="1375"/>
      <c r="Q944" s="92"/>
      <c r="R944" s="92"/>
      <c r="S944" s="93"/>
      <c r="T944" s="41" t="s">
        <v>171</v>
      </c>
      <c r="U944" s="42"/>
      <c r="V944" s="42"/>
      <c r="W944" s="1658" t="s">
        <v>336</v>
      </c>
      <c r="X944" s="1659"/>
      <c r="Y944" s="1659"/>
      <c r="Z944" s="1659"/>
      <c r="AA944" s="1659"/>
      <c r="AB944" s="1659"/>
      <c r="AC944" s="1659"/>
      <c r="AD944" s="1659"/>
      <c r="AE944" s="1659"/>
      <c r="AF944" s="1659"/>
      <c r="AG944" s="166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02" t="s">
        <v>33</v>
      </c>
      <c r="G945" s="1518"/>
      <c r="H945" s="1518"/>
      <c r="I945" s="1518"/>
      <c r="J945" s="1518"/>
      <c r="K945" s="1518"/>
      <c r="L945" s="1518"/>
      <c r="M945" s="1642"/>
      <c r="N945" s="1586"/>
      <c r="O945" s="1586"/>
      <c r="P945" s="1586"/>
      <c r="Q945" s="1586"/>
      <c r="R945" s="1586"/>
      <c r="S945" s="1643"/>
      <c r="T945" s="47"/>
      <c r="U945" s="48"/>
      <c r="V945" s="48"/>
      <c r="W945" s="48"/>
      <c r="X945" s="48"/>
      <c r="Y945" s="48"/>
      <c r="Z945" s="124" t="s">
        <v>135</v>
      </c>
      <c r="AA945" s="1817"/>
      <c r="AB945" s="1818"/>
      <c r="AC945" s="1818"/>
      <c r="AD945" s="1818"/>
      <c r="AE945" s="1818"/>
      <c r="AF945" s="1818"/>
      <c r="AG945" s="1819"/>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761" t="s">
        <v>558</v>
      </c>
      <c r="B949" s="1761"/>
      <c r="C949" s="1761"/>
      <c r="D949" s="1761"/>
      <c r="E949" s="1761"/>
      <c r="F949" s="1761"/>
      <c r="G949" s="1761"/>
      <c r="H949" s="1761"/>
      <c r="I949" s="1761"/>
      <c r="J949" s="1761"/>
      <c r="K949" s="1761"/>
      <c r="L949" s="1761"/>
      <c r="M949" s="1761"/>
      <c r="N949" s="1761"/>
      <c r="O949" s="1761"/>
      <c r="P949" s="1761"/>
      <c r="Q949" s="1761"/>
      <c r="R949" s="1761"/>
      <c r="S949" s="1761"/>
      <c r="T949" s="1761"/>
      <c r="U949" s="1761"/>
      <c r="V949" s="1761"/>
      <c r="W949" s="1761"/>
      <c r="X949" s="1761"/>
      <c r="Y949" s="1761"/>
      <c r="Z949" s="1761"/>
      <c r="AA949" s="1761"/>
      <c r="AB949" s="1761"/>
      <c r="AC949" s="1761"/>
      <c r="AD949" s="1761"/>
      <c r="AE949" s="1761"/>
      <c r="AF949" s="1761"/>
      <c r="AG949" s="1761"/>
      <c r="AH949" s="1761"/>
      <c r="AI949" s="1761"/>
      <c r="AJ949" s="1761"/>
      <c r="AK949" s="1761"/>
      <c r="AL949" s="1761"/>
      <c r="AM949" s="1761"/>
      <c r="AN949" s="1761"/>
      <c r="AO949" s="1761"/>
      <c r="AP949" s="1761"/>
      <c r="AQ949" s="1761"/>
      <c r="AR949" s="1761"/>
      <c r="AS949" s="176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761"/>
      <c r="B950" s="1761"/>
      <c r="C950" s="1761"/>
      <c r="D950" s="1761"/>
      <c r="E950" s="1761"/>
      <c r="F950" s="1761"/>
      <c r="G950" s="1761"/>
      <c r="H950" s="1761"/>
      <c r="I950" s="1761"/>
      <c r="J950" s="1761"/>
      <c r="K950" s="1761"/>
      <c r="L950" s="1761"/>
      <c r="M950" s="1761"/>
      <c r="N950" s="1761"/>
      <c r="O950" s="1761"/>
      <c r="P950" s="1761"/>
      <c r="Q950" s="1761"/>
      <c r="R950" s="1761"/>
      <c r="S950" s="1761"/>
      <c r="T950" s="1761"/>
      <c r="U950" s="1761"/>
      <c r="V950" s="1761"/>
      <c r="W950" s="1761"/>
      <c r="X950" s="1761"/>
      <c r="Y950" s="1761"/>
      <c r="Z950" s="1761"/>
      <c r="AA950" s="1761"/>
      <c r="AB950" s="1761"/>
      <c r="AC950" s="1761"/>
      <c r="AD950" s="1761"/>
      <c r="AE950" s="1761"/>
      <c r="AF950" s="1761"/>
      <c r="AG950" s="1761"/>
      <c r="AH950" s="1761"/>
      <c r="AI950" s="1761"/>
      <c r="AJ950" s="1761"/>
      <c r="AK950" s="1761"/>
      <c r="AL950" s="1761"/>
      <c r="AM950" s="1761"/>
      <c r="AN950" s="1761"/>
      <c r="AO950" s="1761"/>
      <c r="AP950" s="1761"/>
      <c r="AQ950" s="1761"/>
      <c r="AR950" s="1761"/>
      <c r="AS950" s="176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31"/>
      <c r="BH951" s="1631"/>
      <c r="BI951" s="1631"/>
      <c r="BJ951" s="1631"/>
      <c r="BK951" s="1631"/>
      <c r="BL951" s="163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6"/>
      <c r="BC952" s="946"/>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6"/>
      <c r="BC953" s="946"/>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2"/>
      <c r="D954" s="1810" t="s">
        <v>648</v>
      </c>
      <c r="E954" s="1811"/>
      <c r="F954" s="1811"/>
      <c r="G954" s="1811"/>
      <c r="H954" s="1811"/>
      <c r="I954" s="1811"/>
      <c r="J954" s="1811"/>
      <c r="K954" s="1811"/>
      <c r="L954" s="1811"/>
      <c r="M954" s="1811"/>
      <c r="N954" s="1811"/>
      <c r="O954" s="1811"/>
      <c r="P954" s="1811"/>
      <c r="Q954" s="1812"/>
      <c r="R954" s="1810" t="s">
        <v>649</v>
      </c>
      <c r="S954" s="1811"/>
      <c r="T954" s="1811"/>
      <c r="U954" s="1811"/>
      <c r="V954" s="1811"/>
      <c r="W954" s="1811"/>
      <c r="X954" s="1811"/>
      <c r="Y954" s="1811"/>
      <c r="Z954" s="1811"/>
      <c r="AA954" s="1812"/>
      <c r="AB954" s="1810" t="s">
        <v>650</v>
      </c>
      <c r="AC954" s="1811"/>
      <c r="AD954" s="1811"/>
      <c r="AE954" s="1811"/>
      <c r="AF954" s="1811"/>
      <c r="AG954" s="1811"/>
      <c r="AH954" s="1811"/>
      <c r="AI954" s="1812"/>
      <c r="AJ954" s="1810" t="s">
        <v>651</v>
      </c>
      <c r="AK954" s="1811"/>
      <c r="AL954" s="1811"/>
      <c r="AM954" s="1811"/>
      <c r="AN954" s="1811"/>
      <c r="AO954" s="1811"/>
      <c r="AP954" s="1811"/>
      <c r="AQ954" s="1812"/>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3"/>
      <c r="D955" s="1720" t="s">
        <v>643</v>
      </c>
      <c r="E955" s="1721"/>
      <c r="F955" s="1721"/>
      <c r="G955" s="1721"/>
      <c r="H955" s="1721"/>
      <c r="I955" s="1721"/>
      <c r="J955" s="1721"/>
      <c r="K955" s="1721"/>
      <c r="L955" s="1721"/>
      <c r="M955" s="1721"/>
      <c r="N955" s="1721"/>
      <c r="O955" s="1721"/>
      <c r="P955" s="1721"/>
      <c r="Q955" s="1722"/>
      <c r="R955" s="1727">
        <f>IF(ISNA(IF($BN$785="4%",(INDEX($BP$795:$BT$852,MATCH($CB$785,$BO$795:$BO$852,0),MATCH(D955,$BP$794:$BT$794,0))),(INDEX($BW$795:$CA$852,MATCH($CB$785,$BV$795:$BV$852,0),MATCH(D955,$BW$794:$CA$794,0))))),0,IF($BN$785="4%",(INDEX($BP$795:$BT$852,MATCH($CB$785,$BO$795:$BO$852,0),MATCH(D955,$BP$794:$BT$794,0))),(INDEX($BW$795:$CA$852,MATCH($CB$785,$BV$795:$BV$852,0),MATCH(D955,$BW$794:$CA$794,0)))))</f>
        <v>437727</v>
      </c>
      <c r="S955" s="1727"/>
      <c r="T955" s="1727"/>
      <c r="U955" s="1727"/>
      <c r="V955" s="1727"/>
      <c r="W955" s="1727"/>
      <c r="X955" s="1727"/>
      <c r="Y955" s="1727"/>
      <c r="Z955" s="1727"/>
      <c r="AA955" s="1727"/>
      <c r="AB955" s="1813">
        <f>BN649</f>
        <v>0</v>
      </c>
      <c r="AC955" s="1814"/>
      <c r="AD955" s="1814"/>
      <c r="AE955" s="1814"/>
      <c r="AF955" s="1814"/>
      <c r="AG955" s="1814"/>
      <c r="AH955" s="1814"/>
      <c r="AI955" s="1815"/>
      <c r="AJ955" s="1724">
        <f>IF(ISERROR((R955*AB955)),0,(R955*AB955))</f>
        <v>0</v>
      </c>
      <c r="AK955" s="1725"/>
      <c r="AL955" s="1725"/>
      <c r="AM955" s="1725"/>
      <c r="AN955" s="1725"/>
      <c r="AO955" s="1725"/>
      <c r="AP955" s="1725"/>
      <c r="AQ955" s="1726"/>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20" t="s">
        <v>327</v>
      </c>
      <c r="E956" s="1721"/>
      <c r="F956" s="1721"/>
      <c r="G956" s="1721"/>
      <c r="H956" s="1721"/>
      <c r="I956" s="1721"/>
      <c r="J956" s="1721"/>
      <c r="K956" s="1721"/>
      <c r="L956" s="1721"/>
      <c r="M956" s="1721"/>
      <c r="N956" s="1721"/>
      <c r="O956" s="1721"/>
      <c r="P956" s="1721"/>
      <c r="Q956" s="1722"/>
      <c r="R956" s="1727">
        <f>IF(ISNA(IF($BN$785="4%",(INDEX($BP$795:$BT$852,MATCH($CB$785,$BO$795:$BO$852,0),MATCH(D956,$BP$794:$BT$794,0))),(INDEX($BW$795:$CA$852,MATCH($CB$785,$BV$795:$BV$852,0),MATCH(D956,$BW$794:$CA$794,0))))),0,IF($BN$785="4%",(INDEX($BP$795:$BT$852,MATCH($CB$785,$BO$795:$BO$852,0),MATCH(D956,$BP$794:$BT$794,0))),(INDEX($BW$795:$CA$852,MATCH($CB$785,$BV$795:$BV$852,0),MATCH(D956,$BW$794:$CA$794,0)))))</f>
        <v>504695</v>
      </c>
      <c r="S956" s="1727"/>
      <c r="T956" s="1727"/>
      <c r="U956" s="1727"/>
      <c r="V956" s="1727"/>
      <c r="W956" s="1727"/>
      <c r="X956" s="1727"/>
      <c r="Y956" s="1727"/>
      <c r="Z956" s="1727"/>
      <c r="AA956" s="1727"/>
      <c r="AB956" s="1813">
        <f>BS649</f>
        <v>40</v>
      </c>
      <c r="AC956" s="1814"/>
      <c r="AD956" s="1814"/>
      <c r="AE956" s="1814"/>
      <c r="AF956" s="1814"/>
      <c r="AG956" s="1814"/>
      <c r="AH956" s="1814"/>
      <c r="AI956" s="1815"/>
      <c r="AJ956" s="1724">
        <f>IF(ISERROR((R956*AB956)),0,(R956*AB956))</f>
        <v>20187800</v>
      </c>
      <c r="AK956" s="1725"/>
      <c r="AL956" s="1725"/>
      <c r="AM956" s="1725"/>
      <c r="AN956" s="1725"/>
      <c r="AO956" s="1725"/>
      <c r="AP956" s="1725"/>
      <c r="AQ956" s="1726"/>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20" t="s">
        <v>164</v>
      </c>
      <c r="E957" s="1721"/>
      <c r="F957" s="1721"/>
      <c r="G957" s="1721"/>
      <c r="H957" s="1721"/>
      <c r="I957" s="1721"/>
      <c r="J957" s="1721"/>
      <c r="K957" s="1721"/>
      <c r="L957" s="1721"/>
      <c r="M957" s="1721"/>
      <c r="N957" s="1721"/>
      <c r="O957" s="1721"/>
      <c r="P957" s="1721"/>
      <c r="Q957" s="1722"/>
      <c r="R957" s="1727">
        <f>IF(ISNA(IF($BN$785="4%",(INDEX($BP$795:$BT$852,MATCH($CB$785,$BO$795:$BO$852,0),MATCH(D957,$BP$794:$BT$794,0))),(INDEX($BW$795:$CA$852,MATCH($CB$785,$BV$795:$BV$852,0),MATCH(D957,$BW$794:$CA$794,0))))),0,IF($BN$785="4%",(INDEX($BP$795:$BT$852,MATCH($CB$785,$BO$795:$BO$852,0),MATCH(D957,$BP$794:$BT$794,0))),(INDEX($BW$795:$CA$852,MATCH($CB$785,$BV$795:$BV$852,0),MATCH(D957,$BW$794:$CA$794,0)))))</f>
        <v>608800</v>
      </c>
      <c r="S957" s="1727"/>
      <c r="T957" s="1727"/>
      <c r="U957" s="1727"/>
      <c r="V957" s="1727"/>
      <c r="W957" s="1727"/>
      <c r="X957" s="1727"/>
      <c r="Y957" s="1727"/>
      <c r="Z957" s="1727"/>
      <c r="AA957" s="1727"/>
      <c r="AB957" s="1813">
        <f>BX649</f>
        <v>78</v>
      </c>
      <c r="AC957" s="1814"/>
      <c r="AD957" s="1814"/>
      <c r="AE957" s="1814"/>
      <c r="AF957" s="1814"/>
      <c r="AG957" s="1814"/>
      <c r="AH957" s="1814"/>
      <c r="AI957" s="1815"/>
      <c r="AJ957" s="1724">
        <f>IF(ISERROR((R957*AB957)),0,(R957*AB957))</f>
        <v>47486400</v>
      </c>
      <c r="AK957" s="1725"/>
      <c r="AL957" s="1725"/>
      <c r="AM957" s="1725"/>
      <c r="AN957" s="1725"/>
      <c r="AO957" s="1725"/>
      <c r="AP957" s="1725"/>
      <c r="AQ957" s="1726"/>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20" t="s">
        <v>165</v>
      </c>
      <c r="E958" s="1721"/>
      <c r="F958" s="1721"/>
      <c r="G958" s="1721"/>
      <c r="H958" s="1721"/>
      <c r="I958" s="1721"/>
      <c r="J958" s="1721"/>
      <c r="K958" s="1721"/>
      <c r="L958" s="1721"/>
      <c r="M958" s="1721"/>
      <c r="N958" s="1721"/>
      <c r="O958" s="1721"/>
      <c r="P958" s="1721"/>
      <c r="Q958" s="1722"/>
      <c r="R958" s="1727">
        <f>IF(ISNA(IF($BN$785="4%",(INDEX($BP$795:$BT$852,MATCH($CB$785,$BO$795:$BO$852,0),MATCH(D958,$BP$794:$BT$794,0))),(INDEX($BW$795:$CA$852,MATCH($CB$785,$BV$795:$BV$852,0),MATCH(D958,$BW$794:$CA$794,0))))),0,IF($BN$785="4%",(INDEX($BP$795:$BT$852,MATCH($CB$785,$BO$795:$BO$852,0),MATCH(D958,$BP$794:$BT$794,0))),(INDEX($BW$795:$CA$852,MATCH($CB$785,$BV$795:$BV$852,0),MATCH(D958,$BW$794:$CA$794,0)))))</f>
        <v>779264</v>
      </c>
      <c r="S958" s="1727"/>
      <c r="T958" s="1727"/>
      <c r="U958" s="1727"/>
      <c r="V958" s="1727"/>
      <c r="W958" s="1727"/>
      <c r="X958" s="1727"/>
      <c r="Y958" s="1727"/>
      <c r="Z958" s="1727"/>
      <c r="AA958" s="1727"/>
      <c r="AB958" s="1813">
        <f>CC649</f>
        <v>78</v>
      </c>
      <c r="AC958" s="1814"/>
      <c r="AD958" s="1814"/>
      <c r="AE958" s="1814"/>
      <c r="AF958" s="1814"/>
      <c r="AG958" s="1814"/>
      <c r="AH958" s="1814"/>
      <c r="AI958" s="1815"/>
      <c r="AJ958" s="1724">
        <f>IF(ISERROR((R958*AB958)),0,(R958*AB958))</f>
        <v>60782592</v>
      </c>
      <c r="AK958" s="1725"/>
      <c r="AL958" s="1725"/>
      <c r="AM958" s="1725"/>
      <c r="AN958" s="1725"/>
      <c r="AO958" s="1725"/>
      <c r="AP958" s="1725"/>
      <c r="AQ958" s="1726"/>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20" t="s">
        <v>470</v>
      </c>
      <c r="E959" s="1721"/>
      <c r="F959" s="1721"/>
      <c r="G959" s="1721"/>
      <c r="H959" s="1721"/>
      <c r="I959" s="1721"/>
      <c r="J959" s="1721"/>
      <c r="K959" s="1721"/>
      <c r="L959" s="1721"/>
      <c r="M959" s="1721"/>
      <c r="N959" s="1721"/>
      <c r="O959" s="1721"/>
      <c r="P959" s="1721"/>
      <c r="Q959" s="1722"/>
      <c r="R959" s="1727">
        <f>IF(ISNA(IF($BN$785="4%",(INDEX($BP$795:$BT$852,MATCH($CB$785,$BO$795:$BO$852,0),MATCH(D959,$BP$794:$BT$794,0))),(INDEX($BW$795:$CA$852,MATCH($CB$785,$BV$795:$BV$852,0),MATCH(D959,$BW$794:$CA$794,0))))),0,IF($BN$785="4%",(INDEX($BP$795:$BT$852,MATCH($CB$785,$BO$795:$BO$852,0),MATCH(D959,$BP$794:$BT$794,0))),(INDEX($BW$795:$CA$852,MATCH($CB$785,$BV$795:$BV$852,0),MATCH(D959,$BW$794:$CA$794,0)))))</f>
        <v>868149</v>
      </c>
      <c r="S959" s="1727"/>
      <c r="T959" s="1727"/>
      <c r="U959" s="1727"/>
      <c r="V959" s="1727"/>
      <c r="W959" s="1727"/>
      <c r="X959" s="1727"/>
      <c r="Y959" s="1727"/>
      <c r="Z959" s="1727"/>
      <c r="AA959" s="1727"/>
      <c r="AB959" s="1813">
        <f>CM649+CH649</f>
        <v>0</v>
      </c>
      <c r="AC959" s="1814"/>
      <c r="AD959" s="1814"/>
      <c r="AE959" s="1814"/>
      <c r="AF959" s="1814"/>
      <c r="AG959" s="1814"/>
      <c r="AH959" s="1814"/>
      <c r="AI959" s="1815"/>
      <c r="AJ959" s="1724">
        <f>IF(ISERROR((R959*AB959)),0,(R959*AB959))</f>
        <v>0</v>
      </c>
      <c r="AK959" s="1725"/>
      <c r="AL959" s="1725"/>
      <c r="AM959" s="1725"/>
      <c r="AN959" s="1725"/>
      <c r="AO959" s="1725"/>
      <c r="AP959" s="1725"/>
      <c r="AQ959" s="1726"/>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24" t="s">
        <v>816</v>
      </c>
      <c r="C960" s="1825"/>
      <c r="D960" s="1825"/>
      <c r="E960" s="1825"/>
      <c r="F960" s="1825"/>
      <c r="G960" s="1825"/>
      <c r="H960" s="1825"/>
      <c r="I960" s="1825"/>
      <c r="J960" s="1825"/>
      <c r="K960" s="1825"/>
      <c r="L960" s="1825"/>
      <c r="M960" s="1825"/>
      <c r="N960" s="1825"/>
      <c r="O960" s="1825"/>
      <c r="P960" s="1825"/>
      <c r="Q960" s="1825"/>
      <c r="R960" s="1825"/>
      <c r="S960" s="1825"/>
      <c r="T960" s="1825"/>
      <c r="U960" s="1825"/>
      <c r="V960" s="1825"/>
      <c r="W960" s="1825"/>
      <c r="X960" s="1825"/>
      <c r="Y960" s="1825"/>
      <c r="Z960" s="1825"/>
      <c r="AA960" s="1826"/>
      <c r="AB960" s="1813">
        <f>SUM(AB955:AI959)</f>
        <v>196</v>
      </c>
      <c r="AC960" s="1814"/>
      <c r="AD960" s="1814"/>
      <c r="AE960" s="1814"/>
      <c r="AF960" s="1814"/>
      <c r="AG960" s="1814"/>
      <c r="AH960" s="1814"/>
      <c r="AI960" s="1815"/>
      <c r="AJ960" s="1724"/>
      <c r="AK960" s="1725"/>
      <c r="AL960" s="1725"/>
      <c r="AM960" s="1725"/>
      <c r="AN960" s="1725"/>
      <c r="AO960" s="1725"/>
      <c r="AP960" s="1725"/>
      <c r="AQ960" s="1726"/>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42" t="s">
        <v>522</v>
      </c>
      <c r="C961" s="1843"/>
      <c r="D961" s="1843"/>
      <c r="E961" s="1843"/>
      <c r="F961" s="1843"/>
      <c r="G961" s="1843"/>
      <c r="H961" s="1843"/>
      <c r="I961" s="1843"/>
      <c r="J961" s="1843"/>
      <c r="K961" s="1843"/>
      <c r="L961" s="1843"/>
      <c r="M961" s="1843"/>
      <c r="N961" s="1843"/>
      <c r="O961" s="1843"/>
      <c r="P961" s="1843"/>
      <c r="Q961" s="1843"/>
      <c r="R961" s="1843"/>
      <c r="S961" s="1843"/>
      <c r="T961" s="1843"/>
      <c r="U961" s="1843"/>
      <c r="V961" s="1843"/>
      <c r="W961" s="1843"/>
      <c r="X961" s="1843"/>
      <c r="Y961" s="1843"/>
      <c r="Z961" s="1843"/>
      <c r="AA961" s="1843"/>
      <c r="AB961" s="1843"/>
      <c r="AC961" s="1843"/>
      <c r="AD961" s="1843"/>
      <c r="AE961" s="1843"/>
      <c r="AF961" s="1843"/>
      <c r="AG961" s="1843"/>
      <c r="AH961" s="1843"/>
      <c r="AI961" s="1844"/>
      <c r="AJ961" s="1724">
        <f>SUM(AJ955:AQ959)</f>
        <v>128456792</v>
      </c>
      <c r="AK961" s="1725"/>
      <c r="AL961" s="1725"/>
      <c r="AM961" s="1725"/>
      <c r="AN961" s="1725"/>
      <c r="AO961" s="1725"/>
      <c r="AP961" s="1725"/>
      <c r="AQ961" s="1726"/>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03"/>
      <c r="C962" s="1804"/>
      <c r="D962" s="1804"/>
      <c r="E962" s="1804"/>
      <c r="F962" s="1804"/>
      <c r="G962" s="1804"/>
      <c r="H962" s="1804"/>
      <c r="I962" s="1804"/>
      <c r="J962" s="1804"/>
      <c r="K962" s="1804"/>
      <c r="L962" s="1804"/>
      <c r="M962" s="1804"/>
      <c r="N962" s="1804"/>
      <c r="O962" s="1804"/>
      <c r="P962" s="1804"/>
      <c r="Q962" s="1804"/>
      <c r="R962" s="1804"/>
      <c r="S962" s="1804"/>
      <c r="T962" s="1804"/>
      <c r="U962" s="1804"/>
      <c r="V962" s="1804"/>
      <c r="W962" s="1804"/>
      <c r="X962" s="1804"/>
      <c r="Y962" s="1804"/>
      <c r="Z962" s="1804"/>
      <c r="AA962" s="1804"/>
      <c r="AB962" s="1804"/>
      <c r="AC962" s="1804"/>
      <c r="AD962" s="1804"/>
      <c r="AE962" s="1805"/>
      <c r="AF962" s="1845" t="s">
        <v>676</v>
      </c>
      <c r="AG962" s="1846"/>
      <c r="AH962" s="1846"/>
      <c r="AI962" s="1847"/>
      <c r="AJ962" s="1803"/>
      <c r="AK962" s="1804"/>
      <c r="AL962" s="1804"/>
      <c r="AM962" s="1804"/>
      <c r="AN962" s="1804"/>
      <c r="AO962" s="1804"/>
      <c r="AP962" s="1804"/>
      <c r="AQ962" s="180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1" t="s">
        <v>678</v>
      </c>
      <c r="D963" s="1806" t="s">
        <v>1365</v>
      </c>
      <c r="E963" s="1807"/>
      <c r="F963" s="1807"/>
      <c r="G963" s="1807"/>
      <c r="H963" s="1807"/>
      <c r="I963" s="1807"/>
      <c r="J963" s="1807"/>
      <c r="K963" s="1807"/>
      <c r="L963" s="1807"/>
      <c r="M963" s="1807"/>
      <c r="N963" s="1807"/>
      <c r="O963" s="1807"/>
      <c r="P963" s="1807"/>
      <c r="Q963" s="1807"/>
      <c r="R963" s="1807"/>
      <c r="S963" s="1807"/>
      <c r="T963" s="1807"/>
      <c r="U963" s="1807"/>
      <c r="V963" s="1807"/>
      <c r="W963" s="1807"/>
      <c r="X963" s="1807"/>
      <c r="Y963" s="1807"/>
      <c r="Z963" s="1807"/>
      <c r="AA963" s="1807"/>
      <c r="AB963" s="1807"/>
      <c r="AC963" s="1807"/>
      <c r="AD963" s="1807"/>
      <c r="AE963" s="1808"/>
      <c r="AF963" s="79"/>
      <c r="AG963" s="1848" t="s">
        <v>679</v>
      </c>
      <c r="AH963" s="1849"/>
      <c r="AI963" s="87"/>
      <c r="AJ963" s="1786">
        <f>ROUND(IF(AND(AG963="yes",D965&gt;0),AJ961*0.2,0),0)</f>
        <v>0</v>
      </c>
      <c r="AK963" s="1787"/>
      <c r="AL963" s="1787"/>
      <c r="AM963" s="1787"/>
      <c r="AN963" s="1787"/>
      <c r="AO963" s="1787"/>
      <c r="AP963" s="1787"/>
      <c r="AQ963" s="17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7" t="s">
        <v>1366</v>
      </c>
      <c r="E964" s="1828"/>
      <c r="F964" s="1828"/>
      <c r="G964" s="1828"/>
      <c r="H964" s="1828"/>
      <c r="I964" s="1828"/>
      <c r="J964" s="1828"/>
      <c r="K964" s="1828"/>
      <c r="L964" s="1828"/>
      <c r="M964" s="1828"/>
      <c r="N964" s="1828"/>
      <c r="O964" s="1828"/>
      <c r="P964" s="1828"/>
      <c r="Q964" s="1828"/>
      <c r="R964" s="1828"/>
      <c r="S964" s="1828"/>
      <c r="T964" s="1828"/>
      <c r="U964" s="1828"/>
      <c r="V964" s="1828"/>
      <c r="W964" s="1828"/>
      <c r="X964" s="1828"/>
      <c r="Y964" s="1828"/>
      <c r="Z964" s="1828"/>
      <c r="AA964" s="1828"/>
      <c r="AB964" s="1828"/>
      <c r="AC964" s="1828"/>
      <c r="AD964" s="1828"/>
      <c r="AE964" s="1829"/>
      <c r="AF964" s="73"/>
      <c r="AG964" s="14"/>
      <c r="AH964" s="14"/>
      <c r="AI964" s="83"/>
      <c r="AJ964" s="1789"/>
      <c r="AK964" s="1790"/>
      <c r="AL964" s="1790"/>
      <c r="AM964" s="1790"/>
      <c r="AN964" s="1790"/>
      <c r="AO964" s="1790"/>
      <c r="AP964" s="1790"/>
      <c r="AQ964" s="17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30"/>
      <c r="E965" s="1831"/>
      <c r="F965" s="1831"/>
      <c r="G965" s="1831"/>
      <c r="H965" s="1831"/>
      <c r="I965" s="1831"/>
      <c r="J965" s="1831"/>
      <c r="K965" s="1831"/>
      <c r="L965" s="1831"/>
      <c r="M965" s="1831"/>
      <c r="N965" s="1831"/>
      <c r="O965" s="1831"/>
      <c r="P965" s="1831"/>
      <c r="Q965" s="1831"/>
      <c r="R965" s="1831"/>
      <c r="S965" s="1831"/>
      <c r="T965" s="1831"/>
      <c r="U965" s="1831"/>
      <c r="V965" s="1831"/>
      <c r="W965" s="1831"/>
      <c r="X965" s="1831"/>
      <c r="Y965" s="1831"/>
      <c r="Z965" s="1831"/>
      <c r="AA965" s="1831"/>
      <c r="AB965" s="1831"/>
      <c r="AC965" s="1831"/>
      <c r="AD965" s="1831"/>
      <c r="AE965" s="1832"/>
      <c r="AF965" s="77"/>
      <c r="AG965" s="7"/>
      <c r="AH965" s="7"/>
      <c r="AI965" s="78"/>
      <c r="AJ965" s="1792"/>
      <c r="AK965" s="1793"/>
      <c r="AL965" s="1793"/>
      <c r="AM965" s="1793"/>
      <c r="AN965" s="1793"/>
      <c r="AO965" s="1793"/>
      <c r="AP965" s="1793"/>
      <c r="AQ965" s="17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67" t="s">
        <v>1452</v>
      </c>
      <c r="E966" s="1768"/>
      <c r="F966" s="1768"/>
      <c r="G966" s="1768"/>
      <c r="H966" s="1768"/>
      <c r="I966" s="1768"/>
      <c r="J966" s="1768"/>
      <c r="K966" s="1768"/>
      <c r="L966" s="1768"/>
      <c r="M966" s="1768"/>
      <c r="N966" s="1768"/>
      <c r="O966" s="1768"/>
      <c r="P966" s="1768"/>
      <c r="Q966" s="1768"/>
      <c r="R966" s="1768"/>
      <c r="S966" s="1768"/>
      <c r="T966" s="1768"/>
      <c r="U966" s="1768"/>
      <c r="V966" s="1768"/>
      <c r="W966" s="1768"/>
      <c r="X966" s="1768"/>
      <c r="Y966" s="1768"/>
      <c r="Z966" s="1768"/>
      <c r="AA966" s="1768"/>
      <c r="AB966" s="1768"/>
      <c r="AC966" s="1768"/>
      <c r="AD966" s="1768"/>
      <c r="AE966" s="1769"/>
      <c r="AF966" s="79"/>
      <c r="AG966" s="1779" t="s">
        <v>679</v>
      </c>
      <c r="AH966" s="1780"/>
      <c r="AI966" s="87"/>
      <c r="AJ966" s="1786">
        <f>ROUND(IF(AG966="yes",AJ961*0.05,0),0)</f>
        <v>0</v>
      </c>
      <c r="AK966" s="1787"/>
      <c r="AL966" s="1787"/>
      <c r="AM966" s="1787"/>
      <c r="AN966" s="1787"/>
      <c r="AO966" s="1787"/>
      <c r="AP966" s="1787"/>
      <c r="AQ966" s="17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27" t="s">
        <v>1450</v>
      </c>
      <c r="E967" s="1828"/>
      <c r="F967" s="1828"/>
      <c r="G967" s="1828"/>
      <c r="H967" s="1828"/>
      <c r="I967" s="1828"/>
      <c r="J967" s="1828"/>
      <c r="K967" s="1828"/>
      <c r="L967" s="1828"/>
      <c r="M967" s="1828"/>
      <c r="N967" s="1828"/>
      <c r="O967" s="1828"/>
      <c r="P967" s="1828"/>
      <c r="Q967" s="1828"/>
      <c r="R967" s="1828"/>
      <c r="S967" s="1828"/>
      <c r="T967" s="1828"/>
      <c r="U967" s="1828"/>
      <c r="V967" s="1828"/>
      <c r="W967" s="1828"/>
      <c r="X967" s="1828"/>
      <c r="Y967" s="1828"/>
      <c r="Z967" s="1828"/>
      <c r="AA967" s="1828"/>
      <c r="AB967" s="1828"/>
      <c r="AC967" s="1828"/>
      <c r="AD967" s="1828"/>
      <c r="AE967" s="1829"/>
      <c r="AF967" s="73"/>
      <c r="AG967" s="14"/>
      <c r="AH967" s="14"/>
      <c r="AI967" s="83"/>
      <c r="AJ967" s="1789"/>
      <c r="AK967" s="1790"/>
      <c r="AL967" s="1790"/>
      <c r="AM967" s="1790"/>
      <c r="AN967" s="1790"/>
      <c r="AO967" s="1790"/>
      <c r="AP967" s="1790"/>
      <c r="AQ967" s="17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27"/>
      <c r="E968" s="1828"/>
      <c r="F968" s="1828"/>
      <c r="G968" s="1828"/>
      <c r="H968" s="1828"/>
      <c r="I968" s="1828"/>
      <c r="J968" s="1828"/>
      <c r="K968" s="1828"/>
      <c r="L968" s="1828"/>
      <c r="M968" s="1828"/>
      <c r="N968" s="1828"/>
      <c r="O968" s="1828"/>
      <c r="P968" s="1828"/>
      <c r="Q968" s="1828"/>
      <c r="R968" s="1828"/>
      <c r="S968" s="1828"/>
      <c r="T968" s="1828"/>
      <c r="U968" s="1828"/>
      <c r="V968" s="1828"/>
      <c r="W968" s="1828"/>
      <c r="X968" s="1828"/>
      <c r="Y968" s="1828"/>
      <c r="Z968" s="1828"/>
      <c r="AA968" s="1828"/>
      <c r="AB968" s="1828"/>
      <c r="AC968" s="1828"/>
      <c r="AD968" s="1828"/>
      <c r="AE968" s="1829"/>
      <c r="AF968" s="73"/>
      <c r="AG968" s="14"/>
      <c r="AH968" s="14"/>
      <c r="AI968" s="83"/>
      <c r="AJ968" s="1789"/>
      <c r="AK968" s="1790"/>
      <c r="AL968" s="1790"/>
      <c r="AM968" s="1790"/>
      <c r="AN968" s="1790"/>
      <c r="AO968" s="1790"/>
      <c r="AP968" s="1790"/>
      <c r="AQ968" s="17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27"/>
      <c r="E969" s="1828"/>
      <c r="F969" s="1828"/>
      <c r="G969" s="1828"/>
      <c r="H969" s="1828"/>
      <c r="I969" s="1828"/>
      <c r="J969" s="1828"/>
      <c r="K969" s="1828"/>
      <c r="L969" s="1828"/>
      <c r="M969" s="1828"/>
      <c r="N969" s="1828"/>
      <c r="O969" s="1828"/>
      <c r="P969" s="1828"/>
      <c r="Q969" s="1828"/>
      <c r="R969" s="1828"/>
      <c r="S969" s="1828"/>
      <c r="T969" s="1828"/>
      <c r="U969" s="1828"/>
      <c r="V969" s="1828"/>
      <c r="W969" s="1828"/>
      <c r="X969" s="1828"/>
      <c r="Y969" s="1828"/>
      <c r="Z969" s="1828"/>
      <c r="AA969" s="1828"/>
      <c r="AB969" s="1828"/>
      <c r="AC969" s="1828"/>
      <c r="AD969" s="1828"/>
      <c r="AE969" s="1829"/>
      <c r="AF969" s="73"/>
      <c r="AG969" s="14"/>
      <c r="AH969" s="14"/>
      <c r="AI969" s="83"/>
      <c r="AJ969" s="1789"/>
      <c r="AK969" s="1790"/>
      <c r="AL969" s="1790"/>
      <c r="AM969" s="1790"/>
      <c r="AN969" s="1790"/>
      <c r="AO969" s="1790"/>
      <c r="AP969" s="1790"/>
      <c r="AQ969" s="17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27"/>
      <c r="E970" s="1828"/>
      <c r="F970" s="1828"/>
      <c r="G970" s="1828"/>
      <c r="H970" s="1828"/>
      <c r="I970" s="1828"/>
      <c r="J970" s="1828"/>
      <c r="K970" s="1828"/>
      <c r="L970" s="1828"/>
      <c r="M970" s="1828"/>
      <c r="N970" s="1828"/>
      <c r="O970" s="1828"/>
      <c r="P970" s="1828"/>
      <c r="Q970" s="1828"/>
      <c r="R970" s="1828"/>
      <c r="S970" s="1828"/>
      <c r="T970" s="1828"/>
      <c r="U970" s="1828"/>
      <c r="V970" s="1828"/>
      <c r="W970" s="1828"/>
      <c r="X970" s="1828"/>
      <c r="Y970" s="1828"/>
      <c r="Z970" s="1828"/>
      <c r="AA970" s="1828"/>
      <c r="AB970" s="1828"/>
      <c r="AC970" s="1828"/>
      <c r="AD970" s="1828"/>
      <c r="AE970" s="1829"/>
      <c r="AF970" s="73"/>
      <c r="AG970" s="14"/>
      <c r="AH970" s="14"/>
      <c r="AI970" s="83"/>
      <c r="AJ970" s="1789"/>
      <c r="AK970" s="1790"/>
      <c r="AL970" s="1790"/>
      <c r="AM970" s="1790"/>
      <c r="AN970" s="1790"/>
      <c r="AO970" s="1790"/>
      <c r="AP970" s="1790"/>
      <c r="AQ970" s="17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33"/>
      <c r="E971" s="1834"/>
      <c r="F971" s="1834"/>
      <c r="G971" s="1834"/>
      <c r="H971" s="1834"/>
      <c r="I971" s="1834"/>
      <c r="J971" s="1834"/>
      <c r="K971" s="1834"/>
      <c r="L971" s="1834"/>
      <c r="M971" s="1834"/>
      <c r="N971" s="1834"/>
      <c r="O971" s="1834"/>
      <c r="P971" s="1834"/>
      <c r="Q971" s="1834"/>
      <c r="R971" s="1834"/>
      <c r="S971" s="1834"/>
      <c r="T971" s="1834"/>
      <c r="U971" s="1834"/>
      <c r="V971" s="1834"/>
      <c r="W971" s="1834"/>
      <c r="X971" s="1834"/>
      <c r="Y971" s="1834"/>
      <c r="Z971" s="1834"/>
      <c r="AA971" s="1834"/>
      <c r="AB971" s="1834"/>
      <c r="AC971" s="1834"/>
      <c r="AD971" s="1834"/>
      <c r="AE971" s="1835"/>
      <c r="AF971" s="77"/>
      <c r="AG971" s="7"/>
      <c r="AH971" s="7"/>
      <c r="AI971" s="78"/>
      <c r="AJ971" s="1792"/>
      <c r="AK971" s="1793"/>
      <c r="AL971" s="1793"/>
      <c r="AM971" s="1793"/>
      <c r="AN971" s="1793"/>
      <c r="AO971" s="1793"/>
      <c r="AP971" s="1793"/>
      <c r="AQ971" s="17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67" t="s">
        <v>1945</v>
      </c>
      <c r="E972" s="1768"/>
      <c r="F972" s="1768"/>
      <c r="G972" s="1768"/>
      <c r="H972" s="1768"/>
      <c r="I972" s="1768"/>
      <c r="J972" s="1768"/>
      <c r="K972" s="1768"/>
      <c r="L972" s="1768"/>
      <c r="M972" s="1768"/>
      <c r="N972" s="1768"/>
      <c r="O972" s="1768"/>
      <c r="P972" s="1768"/>
      <c r="Q972" s="1768"/>
      <c r="R972" s="1768"/>
      <c r="S972" s="1768"/>
      <c r="T972" s="1768"/>
      <c r="U972" s="1768"/>
      <c r="V972" s="1768"/>
      <c r="W972" s="1768"/>
      <c r="X972" s="1768"/>
      <c r="Y972" s="1768"/>
      <c r="Z972" s="1768"/>
      <c r="AA972" s="1768"/>
      <c r="AB972" s="1768"/>
      <c r="AC972" s="1768"/>
      <c r="AD972" s="1768"/>
      <c r="AE972" s="1769"/>
      <c r="AF972" s="86"/>
      <c r="AG972" s="1779" t="s">
        <v>679</v>
      </c>
      <c r="AH972" s="1780"/>
      <c r="AI972" s="87"/>
      <c r="AJ972" s="1786">
        <f>ROUND(IF(AG972="yes",AJ961*0.1,0),0)</f>
        <v>0</v>
      </c>
      <c r="AK972" s="1787"/>
      <c r="AL972" s="1787"/>
      <c r="AM972" s="1787"/>
      <c r="AN972" s="1787"/>
      <c r="AO972" s="1787"/>
      <c r="AP972" s="1787"/>
      <c r="AQ972" s="17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70" t="s">
        <v>1451</v>
      </c>
      <c r="E973" s="1771"/>
      <c r="F973" s="1771"/>
      <c r="G973" s="1771"/>
      <c r="H973" s="1771"/>
      <c r="I973" s="1771"/>
      <c r="J973" s="1771"/>
      <c r="K973" s="1771"/>
      <c r="L973" s="1771"/>
      <c r="M973" s="1771"/>
      <c r="N973" s="1771"/>
      <c r="O973" s="1771"/>
      <c r="P973" s="1771"/>
      <c r="Q973" s="1771"/>
      <c r="R973" s="1771"/>
      <c r="S973" s="1771"/>
      <c r="T973" s="1771"/>
      <c r="U973" s="1771"/>
      <c r="V973" s="1771"/>
      <c r="W973" s="1771"/>
      <c r="X973" s="1771"/>
      <c r="Y973" s="1771"/>
      <c r="Z973" s="1771"/>
      <c r="AA973" s="1771"/>
      <c r="AB973" s="1771"/>
      <c r="AC973" s="1771"/>
      <c r="AD973" s="1771"/>
      <c r="AE973" s="1772"/>
      <c r="AF973" s="73"/>
      <c r="AI973" s="83"/>
      <c r="AJ973" s="1789"/>
      <c r="AK973" s="1790"/>
      <c r="AL973" s="1790"/>
      <c r="AM973" s="1790"/>
      <c r="AN973" s="1790"/>
      <c r="AO973" s="1790"/>
      <c r="AP973" s="1790"/>
      <c r="AQ973" s="1791"/>
      <c r="AR973" s="68"/>
      <c r="AS973" s="68"/>
      <c r="AT973" s="68"/>
      <c r="AU973" s="68"/>
      <c r="AV973" s="68"/>
      <c r="AW973" s="68"/>
      <c r="AX973" s="68"/>
      <c r="AY973" s="68"/>
      <c r="AZ973" s="34"/>
      <c r="BA973" s="948">
        <f>G739+O782</f>
        <v>195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70"/>
      <c r="E974" s="1771"/>
      <c r="F974" s="1771"/>
      <c r="G974" s="1771"/>
      <c r="H974" s="1771"/>
      <c r="I974" s="1771"/>
      <c r="J974" s="1771"/>
      <c r="K974" s="1771"/>
      <c r="L974" s="1771"/>
      <c r="M974" s="1771"/>
      <c r="N974" s="1771"/>
      <c r="O974" s="1771"/>
      <c r="P974" s="1771"/>
      <c r="Q974" s="1771"/>
      <c r="R974" s="1771"/>
      <c r="S974" s="1771"/>
      <c r="T974" s="1771"/>
      <c r="U974" s="1771"/>
      <c r="V974" s="1771"/>
      <c r="W974" s="1771"/>
      <c r="X974" s="1771"/>
      <c r="Y974" s="1771"/>
      <c r="Z974" s="1771"/>
      <c r="AA974" s="1771"/>
      <c r="AB974" s="1771"/>
      <c r="AC974" s="1771"/>
      <c r="AD974" s="1771"/>
      <c r="AE974" s="1772"/>
      <c r="AF974" s="73"/>
      <c r="AG974" s="14"/>
      <c r="AH974" s="14"/>
      <c r="AI974" s="83"/>
      <c r="AJ974" s="1789"/>
      <c r="AK974" s="1790"/>
      <c r="AL974" s="1790"/>
      <c r="AM974" s="1790"/>
      <c r="AN974" s="1790"/>
      <c r="AO974" s="1790"/>
      <c r="AP974" s="1790"/>
      <c r="AQ974" s="17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83"/>
      <c r="E975" s="1784"/>
      <c r="F975" s="1784"/>
      <c r="G975" s="1784"/>
      <c r="H975" s="1784"/>
      <c r="I975" s="1784"/>
      <c r="J975" s="1784"/>
      <c r="K975" s="1784"/>
      <c r="L975" s="1784"/>
      <c r="M975" s="1784"/>
      <c r="N975" s="1784"/>
      <c r="O975" s="1784"/>
      <c r="P975" s="1784"/>
      <c r="Q975" s="1784"/>
      <c r="R975" s="1784"/>
      <c r="S975" s="1784"/>
      <c r="T975" s="1784"/>
      <c r="U975" s="1784"/>
      <c r="V975" s="1784"/>
      <c r="W975" s="1784"/>
      <c r="X975" s="1784"/>
      <c r="Y975" s="1784"/>
      <c r="Z975" s="1784"/>
      <c r="AA975" s="1784"/>
      <c r="AB975" s="1784"/>
      <c r="AC975" s="1784"/>
      <c r="AD975" s="1784"/>
      <c r="AE975" s="1785"/>
      <c r="AF975" s="77"/>
      <c r="AG975" s="7"/>
      <c r="AH975" s="7"/>
      <c r="AI975" s="78"/>
      <c r="AJ975" s="1792"/>
      <c r="AK975" s="1793"/>
      <c r="AL975" s="1793"/>
      <c r="AM975" s="1793"/>
      <c r="AN975" s="1793"/>
      <c r="AO975" s="1793"/>
      <c r="AP975" s="1793"/>
      <c r="AQ975" s="1794"/>
      <c r="AR975" s="68"/>
      <c r="AS975" s="68"/>
      <c r="AT975" s="68"/>
      <c r="AU975" s="68"/>
      <c r="AV975" s="68"/>
      <c r="AW975" s="68"/>
      <c r="AX975" s="68"/>
      <c r="AY975" s="68"/>
      <c r="AZ975" s="34"/>
      <c r="BA975" s="947">
        <f>ROUNDDOWN(X1013/I1013,2)</f>
        <v>0.14000000000000001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67" t="s">
        <v>1453</v>
      </c>
      <c r="E976" s="1768"/>
      <c r="F976" s="1768"/>
      <c r="G976" s="1768"/>
      <c r="H976" s="1768"/>
      <c r="I976" s="1768"/>
      <c r="J976" s="1768"/>
      <c r="K976" s="1768"/>
      <c r="L976" s="1768"/>
      <c r="M976" s="1768"/>
      <c r="N976" s="1768"/>
      <c r="O976" s="1768"/>
      <c r="P976" s="1768"/>
      <c r="Q976" s="1768"/>
      <c r="R976" s="1768"/>
      <c r="S976" s="1768"/>
      <c r="T976" s="1768"/>
      <c r="U976" s="1768"/>
      <c r="V976" s="1768"/>
      <c r="W976" s="1768"/>
      <c r="X976" s="1768"/>
      <c r="Y976" s="1768"/>
      <c r="Z976" s="1768"/>
      <c r="AA976" s="1768"/>
      <c r="AB976" s="1768"/>
      <c r="AC976" s="1768"/>
      <c r="AD976" s="1768"/>
      <c r="AE976" s="1769"/>
      <c r="AF976" s="79"/>
      <c r="AG976" s="1779" t="s">
        <v>679</v>
      </c>
      <c r="AH976" s="1780"/>
      <c r="AI976" s="87"/>
      <c r="AJ976" s="1786">
        <f>ROUND(IF(AG976="yes",AJ961*0.02,0),0)</f>
        <v>0</v>
      </c>
      <c r="AK976" s="1787"/>
      <c r="AL976" s="1787"/>
      <c r="AM976" s="1787"/>
      <c r="AN976" s="1787"/>
      <c r="AO976" s="1787"/>
      <c r="AP976" s="1787"/>
      <c r="AQ976" s="1788"/>
      <c r="AR976" s="68"/>
      <c r="AS976" s="68"/>
      <c r="AT976" s="68"/>
      <c r="AU976" s="68"/>
      <c r="AV976" s="68"/>
      <c r="AW976" s="68"/>
      <c r="AX976" s="68"/>
      <c r="AY976" s="68"/>
      <c r="AZ976" s="34"/>
      <c r="BA976" s="947">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83" t="s">
        <v>1454</v>
      </c>
      <c r="E977" s="1784"/>
      <c r="F977" s="1784"/>
      <c r="G977" s="1784"/>
      <c r="H977" s="1784"/>
      <c r="I977" s="1784"/>
      <c r="J977" s="1784"/>
      <c r="K977" s="1784"/>
      <c r="L977" s="1784"/>
      <c r="M977" s="1784"/>
      <c r="N977" s="1784"/>
      <c r="O977" s="1784"/>
      <c r="P977" s="1784"/>
      <c r="Q977" s="1784"/>
      <c r="R977" s="1784"/>
      <c r="S977" s="1784"/>
      <c r="T977" s="1784"/>
      <c r="U977" s="1784"/>
      <c r="V977" s="1784"/>
      <c r="W977" s="1784"/>
      <c r="X977" s="1784"/>
      <c r="Y977" s="1784"/>
      <c r="Z977" s="1784"/>
      <c r="AA977" s="1784"/>
      <c r="AB977" s="1784"/>
      <c r="AC977" s="1784"/>
      <c r="AD977" s="1784"/>
      <c r="AE977" s="1785"/>
      <c r="AF977" s="77"/>
      <c r="AG977" s="7"/>
      <c r="AH977" s="7"/>
      <c r="AI977" s="78"/>
      <c r="AJ977" s="1792"/>
      <c r="AK977" s="1793"/>
      <c r="AL977" s="1793"/>
      <c r="AM977" s="1793"/>
      <c r="AN977" s="1793"/>
      <c r="AO977" s="1793"/>
      <c r="AP977" s="1793"/>
      <c r="AQ977" s="1794"/>
      <c r="AR977" s="68"/>
      <c r="AS977" s="68"/>
      <c r="AT977" s="68"/>
      <c r="AU977" s="68"/>
      <c r="AV977" s="68"/>
      <c r="AW977" s="68"/>
      <c r="AX977" s="68"/>
      <c r="AY977" s="68"/>
      <c r="BB977" s="34"/>
      <c r="BC977" s="34"/>
      <c r="BD977" s="34"/>
      <c r="BE977" s="34"/>
      <c r="BF977" s="34"/>
    </row>
    <row r="978" spans="1:58" ht="12.95" customHeight="1">
      <c r="A978" s="14"/>
      <c r="B978" s="79"/>
      <c r="C978" s="80" t="s">
        <v>217</v>
      </c>
      <c r="D978" s="1767" t="s">
        <v>1455</v>
      </c>
      <c r="E978" s="1768"/>
      <c r="F978" s="1768"/>
      <c r="G978" s="1768"/>
      <c r="H978" s="1768"/>
      <c r="I978" s="1768"/>
      <c r="J978" s="1768"/>
      <c r="K978" s="1768"/>
      <c r="L978" s="1768"/>
      <c r="M978" s="1768"/>
      <c r="N978" s="1768"/>
      <c r="O978" s="1768"/>
      <c r="P978" s="1768"/>
      <c r="Q978" s="1768"/>
      <c r="R978" s="1768"/>
      <c r="S978" s="1768"/>
      <c r="T978" s="1768"/>
      <c r="U978" s="1768"/>
      <c r="V978" s="1768"/>
      <c r="W978" s="1768"/>
      <c r="X978" s="1768"/>
      <c r="Y978" s="1768"/>
      <c r="Z978" s="1768"/>
      <c r="AA978" s="1768"/>
      <c r="AB978" s="1768"/>
      <c r="AC978" s="1768"/>
      <c r="AD978" s="1768"/>
      <c r="AE978" s="1769"/>
      <c r="AF978" s="79"/>
      <c r="AG978" s="1779" t="s">
        <v>679</v>
      </c>
      <c r="AH978" s="1780"/>
      <c r="AI978" s="79"/>
      <c r="AJ978" s="1786">
        <f>ROUND(IF(AG978="yes",AJ961*0.02,0),0)</f>
        <v>0</v>
      </c>
      <c r="AK978" s="1787"/>
      <c r="AL978" s="1787"/>
      <c r="AM978" s="1787"/>
      <c r="AN978" s="1787"/>
      <c r="AO978" s="1787"/>
      <c r="AP978" s="1787"/>
      <c r="AQ978" s="1788"/>
      <c r="AR978" s="68"/>
      <c r="AS978" s="68"/>
      <c r="AT978" s="68"/>
      <c r="AU978" s="68"/>
      <c r="AV978" s="68"/>
      <c r="AW978" s="68"/>
      <c r="AX978" s="68"/>
      <c r="AY978" s="68"/>
    </row>
    <row r="979" spans="1:58" ht="12.95" customHeight="1">
      <c r="A979" s="14"/>
      <c r="B979" s="73"/>
      <c r="C979" s="74"/>
      <c r="D979" s="1770" t="s">
        <v>1456</v>
      </c>
      <c r="E979" s="1771"/>
      <c r="F979" s="1771"/>
      <c r="G979" s="1771"/>
      <c r="H979" s="1771"/>
      <c r="I979" s="1771"/>
      <c r="J979" s="1771"/>
      <c r="K979" s="1771"/>
      <c r="L979" s="1771"/>
      <c r="M979" s="1771"/>
      <c r="N979" s="1771"/>
      <c r="O979" s="1771"/>
      <c r="P979" s="1771"/>
      <c r="Q979" s="1771"/>
      <c r="R979" s="1771"/>
      <c r="S979" s="1771"/>
      <c r="T979" s="1771"/>
      <c r="U979" s="1771"/>
      <c r="V979" s="1771"/>
      <c r="W979" s="1771"/>
      <c r="X979" s="1771"/>
      <c r="Y979" s="1771"/>
      <c r="Z979" s="1771"/>
      <c r="AA979" s="1771"/>
      <c r="AB979" s="1771"/>
      <c r="AC979" s="1771"/>
      <c r="AD979" s="1771"/>
      <c r="AE979" s="1772"/>
      <c r="AF979" s="73"/>
      <c r="AI979" s="14"/>
      <c r="AJ979" s="1789"/>
      <c r="AK979" s="1790"/>
      <c r="AL979" s="1790"/>
      <c r="AM979" s="1790"/>
      <c r="AN979" s="1790"/>
      <c r="AO979" s="1790"/>
      <c r="AP979" s="1790"/>
      <c r="AQ979" s="1791"/>
      <c r="AR979" s="68"/>
      <c r="AS979" s="68"/>
      <c r="AT979" s="68"/>
      <c r="AU979" s="68"/>
      <c r="AV979" s="68"/>
      <c r="AW979" s="68"/>
      <c r="AX979" s="68"/>
      <c r="AY979" s="68"/>
    </row>
    <row r="980" spans="1:58" ht="12.95" customHeight="1">
      <c r="A980" s="14"/>
      <c r="B980" s="75"/>
      <c r="C980" s="76"/>
      <c r="D980" s="1783"/>
      <c r="E980" s="1784"/>
      <c r="F980" s="1784"/>
      <c r="G980" s="1784"/>
      <c r="H980" s="1784"/>
      <c r="I980" s="1784"/>
      <c r="J980" s="1784"/>
      <c r="K980" s="1784"/>
      <c r="L980" s="1784"/>
      <c r="M980" s="1784"/>
      <c r="N980" s="1784"/>
      <c r="O980" s="1784"/>
      <c r="P980" s="1784"/>
      <c r="Q980" s="1784"/>
      <c r="R980" s="1784"/>
      <c r="S980" s="1784"/>
      <c r="T980" s="1784"/>
      <c r="U980" s="1784"/>
      <c r="V980" s="1784"/>
      <c r="W980" s="1784"/>
      <c r="X980" s="1784"/>
      <c r="Y980" s="1784"/>
      <c r="Z980" s="1784"/>
      <c r="AA980" s="1784"/>
      <c r="AB980" s="1784"/>
      <c r="AC980" s="1784"/>
      <c r="AD980" s="1784"/>
      <c r="AE980" s="1785"/>
      <c r="AF980" s="77"/>
      <c r="AG980" s="7"/>
      <c r="AH980" s="7"/>
      <c r="AI980" s="78"/>
      <c r="AJ980" s="1792"/>
      <c r="AK980" s="1793"/>
      <c r="AL980" s="1793"/>
      <c r="AM980" s="1793"/>
      <c r="AN980" s="1793"/>
      <c r="AO980" s="1793"/>
      <c r="AP980" s="1793"/>
      <c r="AQ980" s="1794"/>
      <c r="AR980" s="68"/>
      <c r="AS980" s="68"/>
      <c r="AT980" s="68"/>
      <c r="AU980" s="68"/>
      <c r="AV980" s="68"/>
      <c r="AW980" s="68"/>
      <c r="AX980" s="68"/>
      <c r="AY980" s="68"/>
    </row>
    <row r="981" spans="1:58" ht="12.95" customHeight="1">
      <c r="A981" s="14"/>
      <c r="B981" s="79"/>
      <c r="C981" s="80" t="s">
        <v>220</v>
      </c>
      <c r="D981" s="1806" t="s">
        <v>1457</v>
      </c>
      <c r="E981" s="1807"/>
      <c r="F981" s="1807"/>
      <c r="G981" s="1807"/>
      <c r="H981" s="1807"/>
      <c r="I981" s="1807"/>
      <c r="J981" s="1807"/>
      <c r="K981" s="1807"/>
      <c r="L981" s="1807"/>
      <c r="M981" s="1807"/>
      <c r="N981" s="1807"/>
      <c r="O981" s="1807"/>
      <c r="P981" s="1807"/>
      <c r="Q981" s="1807"/>
      <c r="R981" s="1807"/>
      <c r="S981" s="1807"/>
      <c r="T981" s="1807"/>
      <c r="U981" s="1807"/>
      <c r="V981" s="1807"/>
      <c r="W981" s="1807"/>
      <c r="X981" s="1807"/>
      <c r="Y981" s="1807"/>
      <c r="Z981" s="1807"/>
      <c r="AA981" s="1807"/>
      <c r="AB981" s="1807"/>
      <c r="AC981" s="1807"/>
      <c r="AD981" s="1807"/>
      <c r="AE981" s="1808"/>
      <c r="AF981" s="79"/>
      <c r="AG981" s="1779" t="s">
        <v>679</v>
      </c>
      <c r="AH981" s="1780"/>
      <c r="AI981" s="87"/>
      <c r="AJ981" s="1786">
        <f>IF(AG981="yes",AJ961*BA981,0)</f>
        <v>0</v>
      </c>
      <c r="AK981" s="1787"/>
      <c r="AL981" s="1787"/>
      <c r="AM981" s="1787"/>
      <c r="AN981" s="1787"/>
      <c r="AO981" s="1787"/>
      <c r="AP981" s="1787"/>
      <c r="AQ981" s="1788"/>
      <c r="AR981" s="68"/>
      <c r="AS981" s="68"/>
      <c r="AT981" s="68"/>
      <c r="AU981" s="68"/>
      <c r="AV981" s="68"/>
      <c r="AW981" s="68"/>
      <c r="AX981" s="68"/>
      <c r="AY981" s="68"/>
      <c r="BA981" s="215">
        <f>IF(SUM(BA983:BA991)&lt;=0.1,SUM(BA983:BA991),0.1)</f>
        <v>0</v>
      </c>
    </row>
    <row r="982" spans="1:58" ht="12.95" customHeight="1">
      <c r="A982" s="14"/>
      <c r="B982" s="73"/>
      <c r="C982" s="74"/>
      <c r="D982" s="1770" t="s">
        <v>1458</v>
      </c>
      <c r="E982" s="1771"/>
      <c r="F982" s="1771"/>
      <c r="G982" s="1771"/>
      <c r="H982" s="1771"/>
      <c r="I982" s="1771"/>
      <c r="J982" s="1771"/>
      <c r="K982" s="1771"/>
      <c r="L982" s="1771"/>
      <c r="M982" s="1771"/>
      <c r="N982" s="1771"/>
      <c r="O982" s="1771"/>
      <c r="P982" s="1771"/>
      <c r="Q982" s="1771"/>
      <c r="R982" s="1771"/>
      <c r="S982" s="1771"/>
      <c r="T982" s="1771"/>
      <c r="U982" s="1771"/>
      <c r="V982" s="1771"/>
      <c r="W982" s="1771"/>
      <c r="X982" s="1771"/>
      <c r="Y982" s="1771"/>
      <c r="Z982" s="1771"/>
      <c r="AA982" s="1771"/>
      <c r="AB982" s="1771"/>
      <c r="AC982" s="1771"/>
      <c r="AD982" s="1771"/>
      <c r="AE982" s="1772"/>
      <c r="AF982" s="73"/>
      <c r="AG982" s="14"/>
      <c r="AH982" s="14"/>
      <c r="AI982" s="83"/>
      <c r="AJ982" s="1789"/>
      <c r="AK982" s="1790"/>
      <c r="AL982" s="1790"/>
      <c r="AM982" s="1790"/>
      <c r="AN982" s="1790"/>
      <c r="AO982" s="1790"/>
      <c r="AP982" s="1790"/>
      <c r="AQ982" s="1791"/>
      <c r="AR982" s="68"/>
      <c r="AS982" s="68"/>
      <c r="AT982" s="68"/>
      <c r="AU982" s="68"/>
      <c r="AV982" s="68"/>
      <c r="AW982" s="68"/>
      <c r="AX982" s="68"/>
      <c r="AY982" s="68"/>
    </row>
    <row r="983" spans="1:58" ht="12.95" customHeight="1">
      <c r="A983" s="14"/>
      <c r="B983" s="73"/>
      <c r="C983" s="74"/>
      <c r="D983" s="1770"/>
      <c r="E983" s="1771"/>
      <c r="F983" s="1771"/>
      <c r="G983" s="1771"/>
      <c r="H983" s="1771"/>
      <c r="I983" s="1771"/>
      <c r="J983" s="1771"/>
      <c r="K983" s="1771"/>
      <c r="L983" s="1771"/>
      <c r="M983" s="1771"/>
      <c r="N983" s="1771"/>
      <c r="O983" s="1771"/>
      <c r="P983" s="1771"/>
      <c r="Q983" s="1771"/>
      <c r="R983" s="1771"/>
      <c r="S983" s="1771"/>
      <c r="T983" s="1771"/>
      <c r="U983" s="1771"/>
      <c r="V983" s="1771"/>
      <c r="W983" s="1771"/>
      <c r="X983" s="1771"/>
      <c r="Y983" s="1771"/>
      <c r="Z983" s="1771"/>
      <c r="AA983" s="1771"/>
      <c r="AB983" s="1771"/>
      <c r="AC983" s="1771"/>
      <c r="AD983" s="1771"/>
      <c r="AE983" s="1772"/>
      <c r="AF983" s="73"/>
      <c r="AG983" s="14"/>
      <c r="AH983" s="14"/>
      <c r="AI983" s="83"/>
      <c r="AJ983" s="1789"/>
      <c r="AK983" s="1790"/>
      <c r="AL983" s="1790"/>
      <c r="AM983" s="1790"/>
      <c r="AN983" s="1790"/>
      <c r="AO983" s="1790"/>
      <c r="AP983" s="1790"/>
      <c r="AQ983" s="1791"/>
      <c r="AR983" s="68"/>
      <c r="AS983" s="68"/>
      <c r="AT983" s="68"/>
      <c r="AU983" s="68"/>
      <c r="AV983" s="68"/>
      <c r="AW983" s="68"/>
      <c r="AX983" s="68"/>
      <c r="AY983" s="68"/>
      <c r="BA983" s="213">
        <f>IF(A1030="Yes",0.05,0)</f>
        <v>0</v>
      </c>
    </row>
    <row r="984" spans="1:58" ht="12.95" customHeight="1">
      <c r="A984" s="14"/>
      <c r="B984" s="81"/>
      <c r="C984" s="82"/>
      <c r="D984" s="1783"/>
      <c r="E984" s="1784"/>
      <c r="F984" s="1784"/>
      <c r="G984" s="1784"/>
      <c r="H984" s="1784"/>
      <c r="I984" s="1784"/>
      <c r="J984" s="1784"/>
      <c r="K984" s="1784"/>
      <c r="L984" s="1784"/>
      <c r="M984" s="1784"/>
      <c r="N984" s="1784"/>
      <c r="O984" s="1784"/>
      <c r="P984" s="1784"/>
      <c r="Q984" s="1784"/>
      <c r="R984" s="1784"/>
      <c r="S984" s="1784"/>
      <c r="T984" s="1784"/>
      <c r="U984" s="1784"/>
      <c r="V984" s="1784"/>
      <c r="W984" s="1784"/>
      <c r="X984" s="1784"/>
      <c r="Y984" s="1784"/>
      <c r="Z984" s="1784"/>
      <c r="AA984" s="1784"/>
      <c r="AB984" s="1784"/>
      <c r="AC984" s="1784"/>
      <c r="AD984" s="1784"/>
      <c r="AE984" s="1785"/>
      <c r="AF984" s="77"/>
      <c r="AG984" s="7"/>
      <c r="AH984" s="7"/>
      <c r="AI984" s="78"/>
      <c r="AJ984" s="1792"/>
      <c r="AK984" s="1793"/>
      <c r="AL984" s="1793"/>
      <c r="AM984" s="1793"/>
      <c r="AN984" s="1793"/>
      <c r="AO984" s="1793"/>
      <c r="AP984" s="1793"/>
      <c r="AQ984" s="1794"/>
      <c r="AR984" s="68"/>
      <c r="AS984" s="68"/>
      <c r="AT984" s="68"/>
      <c r="AU984" s="68"/>
      <c r="AV984" s="68"/>
      <c r="AW984" s="68"/>
      <c r="AX984" s="68"/>
      <c r="AY984" s="68"/>
      <c r="BA984" s="213">
        <f>IF(A1036="Yes",0.02,0)</f>
        <v>0</v>
      </c>
    </row>
    <row r="985" spans="1:58" ht="12.95" customHeight="1">
      <c r="A985" s="14"/>
      <c r="B985" s="79"/>
      <c r="C985" s="80" t="s">
        <v>225</v>
      </c>
      <c r="D985" s="1836" t="s">
        <v>1459</v>
      </c>
      <c r="E985" s="1837"/>
      <c r="F985" s="1837"/>
      <c r="G985" s="1837"/>
      <c r="H985" s="1837"/>
      <c r="I985" s="1837"/>
      <c r="J985" s="1837"/>
      <c r="K985" s="1837"/>
      <c r="L985" s="1837"/>
      <c r="M985" s="1837"/>
      <c r="N985" s="1837"/>
      <c r="O985" s="1837"/>
      <c r="P985" s="1837"/>
      <c r="Q985" s="1837"/>
      <c r="R985" s="1837"/>
      <c r="S985" s="1837"/>
      <c r="T985" s="1837"/>
      <c r="U985" s="1837"/>
      <c r="V985" s="1837"/>
      <c r="W985" s="1837"/>
      <c r="X985" s="1837"/>
      <c r="Y985" s="1837"/>
      <c r="Z985" s="1837"/>
      <c r="AA985" s="1837"/>
      <c r="AB985" s="1837"/>
      <c r="AC985" s="1837"/>
      <c r="AD985" s="1837"/>
      <c r="AE985" s="1838"/>
      <c r="AF985" s="79"/>
      <c r="AG985" s="1779" t="s">
        <v>679</v>
      </c>
      <c r="AH985" s="1780"/>
      <c r="AI985" s="87"/>
      <c r="AJ985" s="1786">
        <f>ROUND(IF(AG985="Yes",MIN(AF988,(0.15*AJ961)),0),0)</f>
        <v>0</v>
      </c>
      <c r="AK985" s="1787"/>
      <c r="AL985" s="1787"/>
      <c r="AM985" s="1787"/>
      <c r="AN985" s="1787"/>
      <c r="AO985" s="1787"/>
      <c r="AP985" s="1787"/>
      <c r="AQ985" s="1788"/>
      <c r="AR985" s="68"/>
      <c r="AS985" s="68"/>
      <c r="AT985" s="68"/>
      <c r="AU985" s="68"/>
      <c r="AV985" s="68"/>
      <c r="AW985" s="68"/>
      <c r="AX985" s="68"/>
      <c r="AY985" s="68"/>
      <c r="BA985" s="213">
        <f>IF(A1042="Yes",0.04,0)</f>
        <v>0</v>
      </c>
    </row>
    <row r="986" spans="1:58" ht="12.95" customHeight="1">
      <c r="A986" s="14"/>
      <c r="B986" s="81"/>
      <c r="C986" s="84"/>
      <c r="D986" s="1839"/>
      <c r="E986" s="1840"/>
      <c r="F986" s="1840"/>
      <c r="G986" s="1840"/>
      <c r="H986" s="1840"/>
      <c r="I986" s="1840"/>
      <c r="J986" s="1840"/>
      <c r="K986" s="1840"/>
      <c r="L986" s="1840"/>
      <c r="M986" s="1840"/>
      <c r="N986" s="1840"/>
      <c r="O986" s="1840"/>
      <c r="P986" s="1840"/>
      <c r="Q986" s="1840"/>
      <c r="R986" s="1840"/>
      <c r="S986" s="1840"/>
      <c r="T986" s="1840"/>
      <c r="U986" s="1840"/>
      <c r="V986" s="1840"/>
      <c r="W986" s="1840"/>
      <c r="X986" s="1840"/>
      <c r="Y986" s="1840"/>
      <c r="Z986" s="1840"/>
      <c r="AA986" s="1840"/>
      <c r="AB986" s="1840"/>
      <c r="AC986" s="1840"/>
      <c r="AD986" s="1840"/>
      <c r="AE986" s="1841"/>
      <c r="AF986" s="1850" t="str">
        <f>IF(AG985="yes","Please Select Type and Enter Amount:","")</f>
        <v/>
      </c>
      <c r="AG986" s="1851"/>
      <c r="AH986" s="1851"/>
      <c r="AI986" s="1852"/>
      <c r="AJ986" s="1789"/>
      <c r="AK986" s="1790"/>
      <c r="AL986" s="1790"/>
      <c r="AM986" s="1790"/>
      <c r="AN986" s="1790"/>
      <c r="AO986" s="1790"/>
      <c r="AP986" s="1790"/>
      <c r="AQ986" s="1791"/>
      <c r="AR986" s="68"/>
      <c r="AS986" s="68"/>
      <c r="AT986" s="68"/>
      <c r="AU986" s="68"/>
      <c r="AV986" s="68"/>
      <c r="AW986" s="68"/>
      <c r="AX986" s="68"/>
      <c r="AY986" s="68"/>
      <c r="BA986" s="213">
        <f>IF(A1049="Yes",0.04,0)</f>
        <v>0</v>
      </c>
    </row>
    <row r="987" spans="1:58" ht="12.95" customHeight="1">
      <c r="A987" s="14"/>
      <c r="B987" s="81"/>
      <c r="C987" s="84"/>
      <c r="D987" s="1770" t="s">
        <v>1460</v>
      </c>
      <c r="E987" s="1771"/>
      <c r="F987" s="1771"/>
      <c r="G987" s="1771"/>
      <c r="H987" s="1771"/>
      <c r="I987" s="1771"/>
      <c r="J987" s="1771"/>
      <c r="K987" s="1771"/>
      <c r="L987" s="1771"/>
      <c r="M987" s="1771"/>
      <c r="N987" s="1771"/>
      <c r="O987" s="1771"/>
      <c r="P987" s="1771"/>
      <c r="Q987" s="1771"/>
      <c r="R987" s="1771"/>
      <c r="S987" s="1771"/>
      <c r="T987" s="1771"/>
      <c r="U987" s="1771"/>
      <c r="V987" s="1771"/>
      <c r="W987" s="1771"/>
      <c r="X987" s="1771"/>
      <c r="Y987" s="1771"/>
      <c r="Z987" s="1771"/>
      <c r="AA987" s="1771"/>
      <c r="AB987" s="1771"/>
      <c r="AC987" s="1771"/>
      <c r="AD987" s="1771"/>
      <c r="AE987" s="1772"/>
      <c r="AF987" s="1850"/>
      <c r="AG987" s="1851"/>
      <c r="AH987" s="1851"/>
      <c r="AI987" s="1852"/>
      <c r="AJ987" s="1789"/>
      <c r="AK987" s="1790"/>
      <c r="AL987" s="1790"/>
      <c r="AM987" s="1790"/>
      <c r="AN987" s="1790"/>
      <c r="AO987" s="1790"/>
      <c r="AP987" s="1790"/>
      <c r="AQ987" s="1791"/>
      <c r="AR987" s="68"/>
      <c r="AS987" s="68"/>
      <c r="AT987" s="68"/>
      <c r="AU987" s="68"/>
      <c r="AV987" s="68"/>
      <c r="AW987" s="68"/>
      <c r="AX987" s="68"/>
      <c r="AY987" s="68"/>
      <c r="BA987" s="213">
        <f>IF(A1052="Yes",0.01,0)</f>
        <v>0</v>
      </c>
    </row>
    <row r="988" spans="1:58" ht="12.95" customHeight="1">
      <c r="A988" s="14"/>
      <c r="B988" s="81"/>
      <c r="C988" s="84"/>
      <c r="D988" s="1770"/>
      <c r="E988" s="1771"/>
      <c r="F988" s="1771"/>
      <c r="G988" s="1771"/>
      <c r="H988" s="1771"/>
      <c r="I988" s="1771"/>
      <c r="J988" s="1771"/>
      <c r="K988" s="1771"/>
      <c r="L988" s="1771"/>
      <c r="M988" s="1771"/>
      <c r="N988" s="1771"/>
      <c r="O988" s="1771"/>
      <c r="P988" s="1771"/>
      <c r="Q988" s="1771"/>
      <c r="R988" s="1771"/>
      <c r="S988" s="1771"/>
      <c r="T988" s="1771"/>
      <c r="U988" s="1771"/>
      <c r="V988" s="1771"/>
      <c r="W988" s="1771"/>
      <c r="X988" s="1771"/>
      <c r="Y988" s="1771"/>
      <c r="Z988" s="1771"/>
      <c r="AA988" s="1771"/>
      <c r="AB988" s="1771"/>
      <c r="AC988" s="1771"/>
      <c r="AD988" s="1771"/>
      <c r="AE988" s="1772"/>
      <c r="AF988" s="1853"/>
      <c r="AG988" s="1853"/>
      <c r="AH988" s="1853"/>
      <c r="AI988" s="1853"/>
      <c r="AJ988" s="1789"/>
      <c r="AK988" s="1790"/>
      <c r="AL988" s="1790"/>
      <c r="AM988" s="1790"/>
      <c r="AN988" s="1790"/>
      <c r="AO988" s="1790"/>
      <c r="AP988" s="1790"/>
      <c r="AQ988" s="179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58" t="s">
        <v>601</v>
      </c>
      <c r="K989" s="1859"/>
      <c r="L989" s="1859"/>
      <c r="M989" s="1859"/>
      <c r="N989" s="1859"/>
      <c r="O989" s="1859"/>
      <c r="P989" s="1859"/>
      <c r="Q989" s="1859"/>
      <c r="R989" s="1859"/>
      <c r="S989" s="1859"/>
      <c r="T989" s="1859"/>
      <c r="U989" s="1859"/>
      <c r="V989" s="1859"/>
      <c r="W989" s="1859"/>
      <c r="X989" s="1859"/>
      <c r="Y989" s="1859"/>
      <c r="Z989" s="1859"/>
      <c r="AA989" s="1859"/>
      <c r="AB989" s="1859"/>
      <c r="AC989" s="1859"/>
      <c r="AD989" s="1859"/>
      <c r="AE989" s="1860"/>
      <c r="AF989" s="1853"/>
      <c r="AG989" s="1853"/>
      <c r="AH989" s="1853"/>
      <c r="AI989" s="1853"/>
      <c r="AJ989" s="1792"/>
      <c r="AK989" s="1793"/>
      <c r="AL989" s="1793"/>
      <c r="AM989" s="1793"/>
      <c r="AN989" s="1793"/>
      <c r="AO989" s="1793"/>
      <c r="AP989" s="1793"/>
      <c r="AQ989" s="1794"/>
      <c r="AR989" s="68"/>
      <c r="AS989" s="68"/>
      <c r="AT989" s="68"/>
      <c r="AU989" s="68"/>
      <c r="AV989" s="68"/>
      <c r="AW989" s="68"/>
      <c r="AX989" s="68"/>
      <c r="AY989" s="68"/>
      <c r="BA989" s="213">
        <f>IF(A1060="Yes",0.01,0)</f>
        <v>0</v>
      </c>
    </row>
    <row r="990" spans="1:58" ht="12.95" customHeight="1">
      <c r="A990" s="14"/>
      <c r="B990" s="79"/>
      <c r="C990" s="80" t="s">
        <v>231</v>
      </c>
      <c r="D990" s="1767" t="s">
        <v>1461</v>
      </c>
      <c r="E990" s="1768"/>
      <c r="F990" s="1768"/>
      <c r="G990" s="1768"/>
      <c r="H990" s="1768"/>
      <c r="I990" s="1768"/>
      <c r="J990" s="1768"/>
      <c r="K990" s="1768"/>
      <c r="L990" s="1768"/>
      <c r="M990" s="1768"/>
      <c r="N990" s="1768"/>
      <c r="O990" s="1768"/>
      <c r="P990" s="1768"/>
      <c r="Q990" s="1768"/>
      <c r="R990" s="1768"/>
      <c r="S990" s="1768"/>
      <c r="T990" s="1768"/>
      <c r="U990" s="1768"/>
      <c r="V990" s="1768"/>
      <c r="W990" s="1768"/>
      <c r="X990" s="1768"/>
      <c r="Y990" s="1768"/>
      <c r="Z990" s="1768"/>
      <c r="AA990" s="1768"/>
      <c r="AB990" s="1768"/>
      <c r="AC990" s="1768"/>
      <c r="AD990" s="1768"/>
      <c r="AE990" s="1769"/>
      <c r="AF990" s="79"/>
      <c r="AG990" s="1779" t="s">
        <v>555</v>
      </c>
      <c r="AH990" s="1780"/>
      <c r="AI990" s="87"/>
      <c r="AJ990" s="1786">
        <f>ROUND(IF(AG990="Yes",AF992,0),0)</f>
        <v>4600000</v>
      </c>
      <c r="AK990" s="1787"/>
      <c r="AL990" s="1787"/>
      <c r="AM990" s="1787"/>
      <c r="AN990" s="1787"/>
      <c r="AO990" s="1787"/>
      <c r="AP990" s="1787"/>
      <c r="AQ990" s="1788"/>
      <c r="AR990" s="68"/>
      <c r="AS990" s="68"/>
      <c r="AT990" s="68"/>
      <c r="AU990" s="68"/>
      <c r="AV990" s="68"/>
      <c r="AW990" s="68"/>
      <c r="AX990" s="68"/>
      <c r="AY990" s="68"/>
      <c r="BA990" s="213">
        <f>IF(A1064="Yes",0.02,0)</f>
        <v>0</v>
      </c>
    </row>
    <row r="991" spans="1:58" ht="12.95" customHeight="1">
      <c r="A991" s="14"/>
      <c r="B991" s="73"/>
      <c r="C991" s="74"/>
      <c r="D991" s="1770" t="s">
        <v>1952</v>
      </c>
      <c r="E991" s="1771"/>
      <c r="F991" s="1771"/>
      <c r="G991" s="1771"/>
      <c r="H991" s="1771"/>
      <c r="I991" s="1771"/>
      <c r="J991" s="1771"/>
      <c r="K991" s="1771"/>
      <c r="L991" s="1771"/>
      <c r="M991" s="1771"/>
      <c r="N991" s="1771"/>
      <c r="O991" s="1771"/>
      <c r="P991" s="1771"/>
      <c r="Q991" s="1771"/>
      <c r="R991" s="1771"/>
      <c r="S991" s="1771"/>
      <c r="T991" s="1771"/>
      <c r="U991" s="1771"/>
      <c r="V991" s="1771"/>
      <c r="W991" s="1771"/>
      <c r="X991" s="1771"/>
      <c r="Y991" s="1771"/>
      <c r="Z991" s="1771"/>
      <c r="AA991" s="1771"/>
      <c r="AB991" s="1771"/>
      <c r="AC991" s="1771"/>
      <c r="AD991" s="1771"/>
      <c r="AE991" s="1772"/>
      <c r="AF991" s="1854" t="str">
        <f>IF(AG990="yes","Enter Amount:","")</f>
        <v>Enter Amount:</v>
      </c>
      <c r="AG991" s="1855"/>
      <c r="AH991" s="1855"/>
      <c r="AI991" s="1856"/>
      <c r="AJ991" s="1789"/>
      <c r="AK991" s="1790"/>
      <c r="AL991" s="1790"/>
      <c r="AM991" s="1790"/>
      <c r="AN991" s="1790"/>
      <c r="AO991" s="1790"/>
      <c r="AP991" s="1790"/>
      <c r="AQ991" s="1791"/>
      <c r="AR991" s="68"/>
      <c r="AS991" s="68"/>
      <c r="AT991" s="68"/>
      <c r="AU991" s="68"/>
      <c r="AV991" s="68"/>
      <c r="AW991" s="68"/>
      <c r="AX991" s="68"/>
      <c r="AY991" s="68"/>
      <c r="BA991" s="214">
        <f>IF(A1068="Yes",0.02,0)</f>
        <v>0</v>
      </c>
    </row>
    <row r="992" spans="1:58" ht="12.95" customHeight="1">
      <c r="A992" s="14"/>
      <c r="B992" s="73"/>
      <c r="C992" s="74"/>
      <c r="D992" s="1770"/>
      <c r="E992" s="1771"/>
      <c r="F992" s="1771"/>
      <c r="G992" s="1771"/>
      <c r="H992" s="1771"/>
      <c r="I992" s="1771"/>
      <c r="J992" s="1771"/>
      <c r="K992" s="1771"/>
      <c r="L992" s="1771"/>
      <c r="M992" s="1771"/>
      <c r="N992" s="1771"/>
      <c r="O992" s="1771"/>
      <c r="P992" s="1771"/>
      <c r="Q992" s="1771"/>
      <c r="R992" s="1771"/>
      <c r="S992" s="1771"/>
      <c r="T992" s="1771"/>
      <c r="U992" s="1771"/>
      <c r="V992" s="1771"/>
      <c r="W992" s="1771"/>
      <c r="X992" s="1771"/>
      <c r="Y992" s="1771"/>
      <c r="Z992" s="1771"/>
      <c r="AA992" s="1771"/>
      <c r="AB992" s="1771"/>
      <c r="AC992" s="1771"/>
      <c r="AD992" s="1771"/>
      <c r="AE992" s="1772"/>
      <c r="AF992" s="1853">
        <f>'Sources and Uses Budget'!C85</f>
        <v>4600000</v>
      </c>
      <c r="AG992" s="1853"/>
      <c r="AH992" s="1853"/>
      <c r="AI992" s="1853"/>
      <c r="AJ992" s="1789"/>
      <c r="AK992" s="1790"/>
      <c r="AL992" s="1790"/>
      <c r="AM992" s="1790"/>
      <c r="AN992" s="1790"/>
      <c r="AO992" s="1790"/>
      <c r="AP992" s="1790"/>
      <c r="AQ992" s="1791"/>
      <c r="AR992" s="68"/>
      <c r="AS992" s="68"/>
      <c r="AT992" s="68"/>
      <c r="AU992" s="68"/>
      <c r="AV992" s="68"/>
      <c r="AW992" s="68"/>
      <c r="AX992" s="68"/>
      <c r="AY992" s="68"/>
    </row>
    <row r="993" spans="1:51" ht="12.95" customHeight="1">
      <c r="A993" s="14"/>
      <c r="B993" s="85"/>
      <c r="C993" s="84"/>
      <c r="D993" s="1783"/>
      <c r="E993" s="1784"/>
      <c r="F993" s="1784"/>
      <c r="G993" s="1784"/>
      <c r="H993" s="1784"/>
      <c r="I993" s="1784"/>
      <c r="J993" s="1784"/>
      <c r="K993" s="1784"/>
      <c r="L993" s="1784"/>
      <c r="M993" s="1784"/>
      <c r="N993" s="1784"/>
      <c r="O993" s="1784"/>
      <c r="P993" s="1784"/>
      <c r="Q993" s="1784"/>
      <c r="R993" s="1784"/>
      <c r="S993" s="1784"/>
      <c r="T993" s="1784"/>
      <c r="U993" s="1784"/>
      <c r="V993" s="1784"/>
      <c r="W993" s="1784"/>
      <c r="X993" s="1784"/>
      <c r="Y993" s="1784"/>
      <c r="Z993" s="1784"/>
      <c r="AA993" s="1784"/>
      <c r="AB993" s="1784"/>
      <c r="AC993" s="1784"/>
      <c r="AD993" s="1784"/>
      <c r="AE993" s="1785"/>
      <c r="AF993" s="1853"/>
      <c r="AG993" s="1853"/>
      <c r="AH993" s="1853"/>
      <c r="AI993" s="1853"/>
      <c r="AJ993" s="1792"/>
      <c r="AK993" s="1793"/>
      <c r="AL993" s="1793"/>
      <c r="AM993" s="1793"/>
      <c r="AN993" s="1793"/>
      <c r="AO993" s="1793"/>
      <c r="AP993" s="1793"/>
      <c r="AQ993" s="1794"/>
      <c r="AR993" s="68"/>
      <c r="AS993" s="68"/>
      <c r="AT993" s="68"/>
      <c r="AU993" s="68"/>
      <c r="AV993" s="68"/>
      <c r="AW993" s="68"/>
      <c r="AX993" s="68"/>
      <c r="AY993" s="68"/>
    </row>
    <row r="994" spans="1:51" ht="12.95" customHeight="1">
      <c r="A994" s="14"/>
      <c r="B994" s="79"/>
      <c r="C994" s="80" t="s">
        <v>236</v>
      </c>
      <c r="D994" s="1806" t="s">
        <v>1462</v>
      </c>
      <c r="E994" s="1807"/>
      <c r="F994" s="1807"/>
      <c r="G994" s="1807"/>
      <c r="H994" s="1807"/>
      <c r="I994" s="1807"/>
      <c r="J994" s="1807"/>
      <c r="K994" s="1807"/>
      <c r="L994" s="1807"/>
      <c r="M994" s="1807"/>
      <c r="N994" s="1807"/>
      <c r="O994" s="1807"/>
      <c r="P994" s="1807"/>
      <c r="Q994" s="1807"/>
      <c r="R994" s="1807"/>
      <c r="S994" s="1807"/>
      <c r="T994" s="1807"/>
      <c r="U994" s="1807"/>
      <c r="V994" s="1807"/>
      <c r="W994" s="1807"/>
      <c r="X994" s="1807"/>
      <c r="Y994" s="1807"/>
      <c r="Z994" s="1807"/>
      <c r="AA994" s="1807"/>
      <c r="AB994" s="1807"/>
      <c r="AC994" s="1807"/>
      <c r="AD994" s="1807"/>
      <c r="AE994" s="1808"/>
      <c r="AF994" s="79"/>
      <c r="AG994" s="1779" t="s">
        <v>679</v>
      </c>
      <c r="AH994" s="1780"/>
      <c r="AI994" s="87"/>
      <c r="AJ994" s="1786">
        <f>ROUND(IF(AG994="yes",(AJ961*0.1),0),0)</f>
        <v>0</v>
      </c>
      <c r="AK994" s="1787"/>
      <c r="AL994" s="1787"/>
      <c r="AM994" s="1787"/>
      <c r="AN994" s="1787"/>
      <c r="AO994" s="1787"/>
      <c r="AP994" s="1787"/>
      <c r="AQ994" s="1788"/>
      <c r="AR994" s="68"/>
      <c r="AS994" s="68"/>
      <c r="AT994" s="68"/>
      <c r="AU994" s="68"/>
      <c r="AV994" s="68"/>
      <c r="AW994" s="68"/>
      <c r="AX994" s="68"/>
      <c r="AY994" s="68"/>
    </row>
    <row r="995" spans="1:51" ht="12.95" customHeight="1">
      <c r="A995" s="14"/>
      <c r="B995" s="73"/>
      <c r="C995" s="74"/>
      <c r="D995" s="1770" t="s">
        <v>1463</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89"/>
      <c r="AK995" s="1790"/>
      <c r="AL995" s="1790"/>
      <c r="AM995" s="1790"/>
      <c r="AN995" s="1790"/>
      <c r="AO995" s="1790"/>
      <c r="AP995" s="1790"/>
      <c r="AQ995" s="1791"/>
      <c r="AR995" s="68"/>
      <c r="AS995" s="68"/>
      <c r="AT995" s="68"/>
      <c r="AU995" s="68"/>
      <c r="AV995" s="68"/>
      <c r="AW995" s="68"/>
      <c r="AX995" s="68"/>
      <c r="AY995" s="68"/>
    </row>
    <row r="996" spans="1:51" ht="12.95" customHeight="1">
      <c r="A996" s="14"/>
      <c r="B996" s="77"/>
      <c r="C996" s="74"/>
      <c r="D996" s="1783"/>
      <c r="E996" s="1784"/>
      <c r="F996" s="1784"/>
      <c r="G996" s="1784"/>
      <c r="H996" s="1784"/>
      <c r="I996" s="1784"/>
      <c r="J996" s="1784"/>
      <c r="K996" s="1784"/>
      <c r="L996" s="1784"/>
      <c r="M996" s="1784"/>
      <c r="N996" s="1784"/>
      <c r="O996" s="1784"/>
      <c r="P996" s="1784"/>
      <c r="Q996" s="1784"/>
      <c r="R996" s="1784"/>
      <c r="S996" s="1784"/>
      <c r="T996" s="1784"/>
      <c r="U996" s="1784"/>
      <c r="V996" s="1784"/>
      <c r="W996" s="1784"/>
      <c r="X996" s="1784"/>
      <c r="Y996" s="1784"/>
      <c r="Z996" s="1784"/>
      <c r="AA996" s="1784"/>
      <c r="AB996" s="1784"/>
      <c r="AC996" s="1784"/>
      <c r="AD996" s="1784"/>
      <c r="AE996" s="1785"/>
      <c r="AF996" s="73"/>
      <c r="AG996" s="14"/>
      <c r="AH996" s="14"/>
      <c r="AI996" s="83"/>
      <c r="AJ996" s="1792"/>
      <c r="AK996" s="1793"/>
      <c r="AL996" s="1793"/>
      <c r="AM996" s="1793"/>
      <c r="AN996" s="1793"/>
      <c r="AO996" s="1793"/>
      <c r="AP996" s="1793"/>
      <c r="AQ996" s="1794"/>
      <c r="AR996" s="68"/>
      <c r="AS996" s="68"/>
      <c r="AT996" s="68"/>
      <c r="AU996" s="68"/>
      <c r="AV996" s="68"/>
      <c r="AW996" s="68"/>
      <c r="AX996" s="68"/>
      <c r="AY996" s="68"/>
    </row>
    <row r="997" spans="1:51" ht="12.95" customHeight="1">
      <c r="A997" s="14"/>
      <c r="B997" s="73"/>
      <c r="C997" s="368" t="s">
        <v>698</v>
      </c>
      <c r="D997" s="1767" t="s">
        <v>1948</v>
      </c>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9"/>
      <c r="AG997" s="1779" t="s">
        <v>679</v>
      </c>
      <c r="AH997" s="1780"/>
      <c r="AI997" s="87"/>
      <c r="AJ997" s="1786">
        <f>ROUND(IF(AG997="yes",(AJ961*0.15),0),0)</f>
        <v>0</v>
      </c>
      <c r="AK997" s="1787"/>
      <c r="AL997" s="1787"/>
      <c r="AM997" s="1787"/>
      <c r="AN997" s="1787"/>
      <c r="AO997" s="1787"/>
      <c r="AP997" s="1787"/>
      <c r="AQ997" s="1788"/>
      <c r="AR997" s="68"/>
      <c r="AS997" s="68"/>
      <c r="AT997" s="68"/>
      <c r="AU997" s="68"/>
      <c r="AV997" s="68"/>
      <c r="AW997" s="68"/>
      <c r="AX997" s="68"/>
      <c r="AY997" s="68"/>
    </row>
    <row r="998" spans="1:51" ht="12.95" customHeight="1">
      <c r="A998" s="14"/>
      <c r="B998" s="73"/>
      <c r="C998" s="74"/>
      <c r="D998" s="1798" t="s">
        <v>1949</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799"/>
      <c r="AF998" s="949"/>
      <c r="AG998" s="950"/>
      <c r="AH998" s="950"/>
      <c r="AI998" s="951"/>
      <c r="AJ998" s="1789"/>
      <c r="AK998" s="1790"/>
      <c r="AL998" s="1790"/>
      <c r="AM998" s="1790"/>
      <c r="AN998" s="1790"/>
      <c r="AO998" s="1790"/>
      <c r="AP998" s="1790"/>
      <c r="AQ998" s="1791"/>
      <c r="AR998" s="68"/>
      <c r="AS998" s="68"/>
      <c r="AT998" s="68"/>
      <c r="AU998" s="68"/>
      <c r="AV998" s="68"/>
      <c r="AW998" s="68"/>
      <c r="AX998" s="68"/>
      <c r="AY998" s="68"/>
    </row>
    <row r="999" spans="1:51" ht="12.95" customHeight="1">
      <c r="A999" s="14"/>
      <c r="B999" s="73"/>
      <c r="C999" s="74"/>
      <c r="D999" s="1798"/>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799"/>
      <c r="AF999" s="949"/>
      <c r="AG999" s="950"/>
      <c r="AH999" s="950"/>
      <c r="AI999" s="951"/>
      <c r="AJ999" s="1789"/>
      <c r="AK999" s="1790"/>
      <c r="AL999" s="1790"/>
      <c r="AM999" s="1790"/>
      <c r="AN999" s="1790"/>
      <c r="AO999" s="1790"/>
      <c r="AP999" s="1790"/>
      <c r="AQ999" s="1791"/>
      <c r="AR999" s="68"/>
      <c r="AS999" s="68"/>
      <c r="AT999" s="68"/>
      <c r="AU999" s="68"/>
      <c r="AV999" s="68"/>
      <c r="AW999" s="68"/>
      <c r="AX999" s="68"/>
      <c r="AY999" s="68"/>
    </row>
    <row r="1000" spans="1:51" ht="12.95" customHeight="1">
      <c r="A1000" s="14"/>
      <c r="B1000" s="73"/>
      <c r="C1000" s="74"/>
      <c r="D1000" s="1800"/>
      <c r="E1000" s="1801"/>
      <c r="F1000" s="1801"/>
      <c r="G1000" s="1801"/>
      <c r="H1000" s="1801"/>
      <c r="I1000" s="1801"/>
      <c r="J1000" s="1801"/>
      <c r="K1000" s="1801"/>
      <c r="L1000" s="1801"/>
      <c r="M1000" s="1801"/>
      <c r="N1000" s="1801"/>
      <c r="O1000" s="1801"/>
      <c r="P1000" s="1801"/>
      <c r="Q1000" s="1801"/>
      <c r="R1000" s="1801"/>
      <c r="S1000" s="1801"/>
      <c r="T1000" s="1801"/>
      <c r="U1000" s="1801"/>
      <c r="V1000" s="1801"/>
      <c r="W1000" s="1801"/>
      <c r="X1000" s="1801"/>
      <c r="Y1000" s="1801"/>
      <c r="Z1000" s="1801"/>
      <c r="AA1000" s="1801"/>
      <c r="AB1000" s="1801"/>
      <c r="AC1000" s="1801"/>
      <c r="AD1000" s="1801"/>
      <c r="AE1000" s="1802"/>
      <c r="AF1000" s="952"/>
      <c r="AG1000" s="953"/>
      <c r="AH1000" s="953"/>
      <c r="AI1000" s="954"/>
      <c r="AJ1000" s="1792"/>
      <c r="AK1000" s="1793"/>
      <c r="AL1000" s="1793"/>
      <c r="AM1000" s="1793"/>
      <c r="AN1000" s="1793"/>
      <c r="AO1000" s="1793"/>
      <c r="AP1000" s="1793"/>
      <c r="AQ1000" s="1794"/>
      <c r="AR1000" s="68"/>
      <c r="AS1000" s="68"/>
      <c r="AT1000" s="68"/>
      <c r="AU1000" s="68"/>
      <c r="AV1000" s="68"/>
      <c r="AW1000" s="68"/>
      <c r="AX1000" s="68"/>
      <c r="AY1000" s="68"/>
    </row>
    <row r="1001" spans="1:51" ht="12.95" customHeight="1">
      <c r="A1001" s="14"/>
      <c r="B1001" s="73"/>
      <c r="C1001" s="368" t="s">
        <v>698</v>
      </c>
      <c r="D1001" s="1806" t="s">
        <v>1950</v>
      </c>
      <c r="E1001" s="1807"/>
      <c r="F1001" s="1807"/>
      <c r="G1001" s="1807"/>
      <c r="H1001" s="1807"/>
      <c r="I1001" s="1807"/>
      <c r="J1001" s="1807"/>
      <c r="K1001" s="1807"/>
      <c r="L1001" s="1807"/>
      <c r="M1001" s="1807"/>
      <c r="N1001" s="1807"/>
      <c r="O1001" s="1807"/>
      <c r="P1001" s="1807"/>
      <c r="Q1001" s="1807"/>
      <c r="R1001" s="1807"/>
      <c r="S1001" s="1807"/>
      <c r="T1001" s="1807"/>
      <c r="U1001" s="1807"/>
      <c r="V1001" s="1807"/>
      <c r="W1001" s="1807"/>
      <c r="X1001" s="1807"/>
      <c r="Y1001" s="1807"/>
      <c r="Z1001" s="1807"/>
      <c r="AA1001" s="1807"/>
      <c r="AB1001" s="1807"/>
      <c r="AC1001" s="1807"/>
      <c r="AD1001" s="1807"/>
      <c r="AE1001" s="1808"/>
      <c r="AF1001" s="73"/>
      <c r="AG1001" s="1781" t="s">
        <v>679</v>
      </c>
      <c r="AH1001" s="1782"/>
      <c r="AI1001" s="83"/>
      <c r="AJ1001" s="1786">
        <f>ROUND(IF(AND(AG1001="yes",AJ997=0),(AJ961*0.1),0),0)</f>
        <v>0</v>
      </c>
      <c r="AK1001" s="1787"/>
      <c r="AL1001" s="1787"/>
      <c r="AM1001" s="1787"/>
      <c r="AN1001" s="1787"/>
      <c r="AO1001" s="1787"/>
      <c r="AP1001" s="1787"/>
      <c r="AQ1001" s="1788"/>
      <c r="AR1001" s="68"/>
      <c r="AS1001" s="68"/>
      <c r="AT1001" s="68"/>
      <c r="AU1001" s="68"/>
      <c r="AV1001" s="68"/>
      <c r="AW1001" s="68"/>
      <c r="AX1001" s="68"/>
      <c r="AY1001" s="68"/>
    </row>
    <row r="1002" spans="1:51" ht="12.95" customHeight="1">
      <c r="A1002" s="14"/>
      <c r="B1002" s="73"/>
      <c r="C1002" s="74"/>
      <c r="D1002" s="1798" t="s">
        <v>1951</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799"/>
      <c r="AF1002" s="73"/>
      <c r="AG1002" s="14"/>
      <c r="AH1002" s="14"/>
      <c r="AI1002" s="83"/>
      <c r="AJ1002" s="1789"/>
      <c r="AK1002" s="1790"/>
      <c r="AL1002" s="1790"/>
      <c r="AM1002" s="1790"/>
      <c r="AN1002" s="1790"/>
      <c r="AO1002" s="1790"/>
      <c r="AP1002" s="1790"/>
      <c r="AQ1002" s="1791"/>
      <c r="AR1002" s="68"/>
      <c r="AS1002" s="68"/>
      <c r="AT1002" s="68"/>
      <c r="AU1002" s="68"/>
      <c r="AV1002" s="68"/>
      <c r="AW1002" s="68"/>
      <c r="AX1002" s="68"/>
      <c r="AY1002" s="68"/>
    </row>
    <row r="1003" spans="1:51" ht="12.95" customHeight="1">
      <c r="A1003" s="14"/>
      <c r="B1003" s="73"/>
      <c r="C1003" s="74"/>
      <c r="D1003" s="1798"/>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799"/>
      <c r="AF1003" s="73"/>
      <c r="AG1003" s="14"/>
      <c r="AH1003" s="14"/>
      <c r="AI1003" s="83"/>
      <c r="AJ1003" s="1789"/>
      <c r="AK1003" s="1790"/>
      <c r="AL1003" s="1790"/>
      <c r="AM1003" s="1790"/>
      <c r="AN1003" s="1790"/>
      <c r="AO1003" s="1790"/>
      <c r="AP1003" s="1790"/>
      <c r="AQ1003" s="1791"/>
      <c r="AR1003" s="68"/>
      <c r="AS1003" s="68"/>
      <c r="AT1003" s="68"/>
      <c r="AU1003" s="68"/>
      <c r="AV1003" s="68"/>
      <c r="AW1003" s="68"/>
      <c r="AX1003" s="68"/>
      <c r="AY1003" s="68"/>
    </row>
    <row r="1004" spans="1:51" ht="12.95" customHeight="1">
      <c r="A1004" s="14"/>
      <c r="B1004" s="73"/>
      <c r="C1004" s="74"/>
      <c r="D1004" s="1798"/>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799"/>
      <c r="AF1004" s="73"/>
      <c r="AG1004" s="14"/>
      <c r="AH1004" s="14"/>
      <c r="AI1004" s="83"/>
      <c r="AJ1004" s="1789"/>
      <c r="AK1004" s="1790"/>
      <c r="AL1004" s="1790"/>
      <c r="AM1004" s="1790"/>
      <c r="AN1004" s="1790"/>
      <c r="AO1004" s="1790"/>
      <c r="AP1004" s="1790"/>
      <c r="AQ1004" s="1791"/>
      <c r="AR1004" s="68"/>
      <c r="AS1004" s="68"/>
      <c r="AT1004" s="68"/>
      <c r="AU1004" s="68"/>
      <c r="AV1004" s="68"/>
      <c r="AW1004" s="68"/>
      <c r="AX1004" s="68"/>
      <c r="AY1004" s="68"/>
    </row>
    <row r="1005" spans="1:51" ht="12.95" customHeight="1">
      <c r="A1005" s="14"/>
      <c r="B1005" s="73"/>
      <c r="C1005" s="74"/>
      <c r="D1005" s="1800"/>
      <c r="E1005" s="1801"/>
      <c r="F1005" s="1801"/>
      <c r="G1005" s="1801"/>
      <c r="H1005" s="1801"/>
      <c r="I1005" s="1801"/>
      <c r="J1005" s="1801"/>
      <c r="K1005" s="1801"/>
      <c r="L1005" s="1801"/>
      <c r="M1005" s="1801"/>
      <c r="N1005" s="1801"/>
      <c r="O1005" s="1801"/>
      <c r="P1005" s="1801"/>
      <c r="Q1005" s="1801"/>
      <c r="R1005" s="1801"/>
      <c r="S1005" s="1801"/>
      <c r="T1005" s="1801"/>
      <c r="U1005" s="1801"/>
      <c r="V1005" s="1801"/>
      <c r="W1005" s="1801"/>
      <c r="X1005" s="1801"/>
      <c r="Y1005" s="1801"/>
      <c r="Z1005" s="1801"/>
      <c r="AA1005" s="1801"/>
      <c r="AB1005" s="1801"/>
      <c r="AC1005" s="1801"/>
      <c r="AD1005" s="1801"/>
      <c r="AE1005" s="1802"/>
      <c r="AF1005" s="73"/>
      <c r="AG1005" s="14"/>
      <c r="AH1005" s="14"/>
      <c r="AI1005" s="83"/>
      <c r="AJ1005" s="1789"/>
      <c r="AK1005" s="1790"/>
      <c r="AL1005" s="1790"/>
      <c r="AM1005" s="1790"/>
      <c r="AN1005" s="1790"/>
      <c r="AO1005" s="1790"/>
      <c r="AP1005" s="1790"/>
      <c r="AQ1005" s="1791"/>
      <c r="AR1005" s="68"/>
      <c r="AS1005" s="68"/>
      <c r="AT1005" s="68"/>
      <c r="AU1005" s="68"/>
      <c r="AV1005" s="68"/>
      <c r="AW1005" s="68"/>
      <c r="AX1005" s="68"/>
      <c r="AY1005" s="68"/>
    </row>
    <row r="1006" spans="1:51" ht="12.95" customHeight="1">
      <c r="A1006" s="14"/>
      <c r="B1006" s="79"/>
      <c r="C1006" s="131" t="s">
        <v>1068</v>
      </c>
      <c r="D1006" s="1767" t="s">
        <v>1464</v>
      </c>
      <c r="E1006" s="1768"/>
      <c r="F1006" s="1768"/>
      <c r="G1006" s="1768"/>
      <c r="H1006" s="1768"/>
      <c r="I1006" s="1768"/>
      <c r="J1006" s="1768"/>
      <c r="K1006" s="1768"/>
      <c r="L1006" s="1768"/>
      <c r="M1006" s="1768"/>
      <c r="N1006" s="1768"/>
      <c r="O1006" s="1768"/>
      <c r="P1006" s="1768"/>
      <c r="Q1006" s="1768"/>
      <c r="R1006" s="1768"/>
      <c r="S1006" s="1768"/>
      <c r="T1006" s="1768"/>
      <c r="U1006" s="1768"/>
      <c r="V1006" s="1768"/>
      <c r="W1006" s="1768"/>
      <c r="X1006" s="1768"/>
      <c r="Y1006" s="1768"/>
      <c r="Z1006" s="1768"/>
      <c r="AA1006" s="1768"/>
      <c r="AB1006" s="1768"/>
      <c r="AC1006" s="1768"/>
      <c r="AD1006" s="1768"/>
      <c r="AE1006" s="1769"/>
      <c r="AF1006" s="79"/>
      <c r="AG1006" s="1779" t="s">
        <v>679</v>
      </c>
      <c r="AH1006" s="1780"/>
      <c r="AI1006" s="87"/>
      <c r="AJ1006" s="1786">
        <f>ROUND(IF(AG1006="yes",(AJ961*0.1),0),0)</f>
        <v>0</v>
      </c>
      <c r="AK1006" s="1787"/>
      <c r="AL1006" s="1787"/>
      <c r="AM1006" s="1787"/>
      <c r="AN1006" s="1787"/>
      <c r="AO1006" s="1787"/>
      <c r="AP1006" s="1787"/>
      <c r="AQ1006" s="1788"/>
      <c r="AR1006" s="68"/>
      <c r="AS1006" s="68"/>
      <c r="AT1006" s="68"/>
      <c r="AU1006" s="68"/>
      <c r="AV1006" s="68"/>
      <c r="AW1006" s="68"/>
      <c r="AX1006" s="68"/>
      <c r="AY1006" s="68"/>
    </row>
    <row r="1007" spans="1:51" ht="12.95" customHeight="1">
      <c r="A1007" s="14"/>
      <c r="B1007" s="73"/>
      <c r="C1007" s="74"/>
      <c r="D1007" s="1770" t="s">
        <v>2616</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73"/>
      <c r="AG1007" s="14"/>
      <c r="AH1007" s="14"/>
      <c r="AI1007" s="83"/>
      <c r="AJ1007" s="1789"/>
      <c r="AK1007" s="1790"/>
      <c r="AL1007" s="1790"/>
      <c r="AM1007" s="1790"/>
      <c r="AN1007" s="1790"/>
      <c r="AO1007" s="1790"/>
      <c r="AP1007" s="1790"/>
      <c r="AQ1007" s="1791"/>
      <c r="AR1007" s="68"/>
      <c r="AS1007" s="68"/>
      <c r="AT1007" s="68"/>
      <c r="AU1007" s="68"/>
      <c r="AV1007" s="68"/>
      <c r="AW1007" s="68"/>
      <c r="AX1007" s="68"/>
      <c r="AY1007" s="68"/>
    </row>
    <row r="1008" spans="1:51" ht="12.95" customHeight="1">
      <c r="A1008" s="14"/>
      <c r="B1008" s="73"/>
      <c r="C1008" s="74"/>
      <c r="D1008" s="1770"/>
      <c r="E1008" s="1771"/>
      <c r="F1008" s="1771"/>
      <c r="G1008" s="1771"/>
      <c r="H1008" s="1771"/>
      <c r="I1008" s="1771"/>
      <c r="J1008" s="1771"/>
      <c r="K1008" s="1771"/>
      <c r="L1008" s="1771"/>
      <c r="M1008" s="1771"/>
      <c r="N1008" s="1771"/>
      <c r="O1008" s="1771"/>
      <c r="P1008" s="1771"/>
      <c r="Q1008" s="1771"/>
      <c r="R1008" s="1771"/>
      <c r="S1008" s="1771"/>
      <c r="T1008" s="1771"/>
      <c r="U1008" s="1771"/>
      <c r="V1008" s="1771"/>
      <c r="W1008" s="1771"/>
      <c r="X1008" s="1771"/>
      <c r="Y1008" s="1771"/>
      <c r="Z1008" s="1771"/>
      <c r="AA1008" s="1771"/>
      <c r="AB1008" s="1771"/>
      <c r="AC1008" s="1771"/>
      <c r="AD1008" s="1771"/>
      <c r="AE1008" s="1772"/>
      <c r="AF1008" s="73"/>
      <c r="AG1008" s="14"/>
      <c r="AH1008" s="14"/>
      <c r="AI1008" s="83"/>
      <c r="AJ1008" s="1789"/>
      <c r="AK1008" s="1790"/>
      <c r="AL1008" s="1790"/>
      <c r="AM1008" s="1790"/>
      <c r="AN1008" s="1790"/>
      <c r="AO1008" s="1790"/>
      <c r="AP1008" s="1790"/>
      <c r="AQ1008" s="1791"/>
      <c r="AR1008" s="68"/>
      <c r="AS1008" s="68"/>
      <c r="AT1008" s="68"/>
      <c r="AU1008" s="68"/>
      <c r="AV1008" s="68"/>
      <c r="AW1008" s="68"/>
      <c r="AX1008" s="68"/>
      <c r="AY1008" s="68"/>
    </row>
    <row r="1009" spans="1:51" ht="12.95" customHeight="1">
      <c r="A1009" s="14"/>
      <c r="B1009" s="73"/>
      <c r="C1009" s="74"/>
      <c r="D1009" s="1783"/>
      <c r="E1009" s="1784"/>
      <c r="F1009" s="1784"/>
      <c r="G1009" s="1784"/>
      <c r="H1009" s="1784"/>
      <c r="I1009" s="1784"/>
      <c r="J1009" s="1784"/>
      <c r="K1009" s="1784"/>
      <c r="L1009" s="1784"/>
      <c r="M1009" s="1784"/>
      <c r="N1009" s="1784"/>
      <c r="O1009" s="1784"/>
      <c r="P1009" s="1784"/>
      <c r="Q1009" s="1784"/>
      <c r="R1009" s="1784"/>
      <c r="S1009" s="1784"/>
      <c r="T1009" s="1784"/>
      <c r="U1009" s="1784"/>
      <c r="V1009" s="1784"/>
      <c r="W1009" s="1784"/>
      <c r="X1009" s="1784"/>
      <c r="Y1009" s="1784"/>
      <c r="Z1009" s="1784"/>
      <c r="AA1009" s="1784"/>
      <c r="AB1009" s="1784"/>
      <c r="AC1009" s="1784"/>
      <c r="AD1009" s="1784"/>
      <c r="AE1009" s="1785"/>
      <c r="AF1009" s="73"/>
      <c r="AG1009" s="14"/>
      <c r="AH1009" s="14"/>
      <c r="AI1009" s="83"/>
      <c r="AJ1009" s="1792"/>
      <c r="AK1009" s="1793"/>
      <c r="AL1009" s="1793"/>
      <c r="AM1009" s="1793"/>
      <c r="AN1009" s="1793"/>
      <c r="AO1009" s="1793"/>
      <c r="AP1009" s="1793"/>
      <c r="AQ1009" s="1794"/>
      <c r="AR1009" s="68"/>
      <c r="AS1009" s="68"/>
      <c r="AT1009" s="68"/>
      <c r="AU1009" s="68"/>
      <c r="AV1009" s="68"/>
      <c r="AW1009" s="68"/>
      <c r="AX1009" s="68"/>
      <c r="AY1009" s="68"/>
    </row>
    <row r="1010" spans="1:51" ht="12.95" customHeight="1">
      <c r="A1010" s="14"/>
      <c r="B1010" s="79"/>
      <c r="C1010" s="131" t="s">
        <v>1946</v>
      </c>
      <c r="D1010" s="1806" t="s">
        <v>2130</v>
      </c>
      <c r="E1010" s="1807"/>
      <c r="F1010" s="1807"/>
      <c r="G1010" s="1807"/>
      <c r="H1010" s="1807"/>
      <c r="I1010" s="1807"/>
      <c r="J1010" s="1807"/>
      <c r="K1010" s="1807"/>
      <c r="L1010" s="1807"/>
      <c r="M1010" s="1807"/>
      <c r="N1010" s="1807"/>
      <c r="O1010" s="1807"/>
      <c r="P1010" s="1807"/>
      <c r="Q1010" s="1807"/>
      <c r="R1010" s="1807"/>
      <c r="S1010" s="1807"/>
      <c r="T1010" s="1807"/>
      <c r="U1010" s="1807"/>
      <c r="V1010" s="1807"/>
      <c r="W1010" s="1807"/>
      <c r="X1010" s="1807"/>
      <c r="Y1010" s="1807"/>
      <c r="Z1010" s="1807"/>
      <c r="AA1010" s="1807"/>
      <c r="AB1010" s="1807"/>
      <c r="AC1010" s="1807"/>
      <c r="AD1010" s="1807"/>
      <c r="AE1010" s="1808"/>
      <c r="AF1010" s="79"/>
      <c r="AG1010" s="1777" t="str">
        <f>IF(X1013&gt;0,"Yes","No")</f>
        <v>Yes</v>
      </c>
      <c r="AH1010" s="1778"/>
      <c r="AI1010" s="87"/>
      <c r="AJ1010" s="1786">
        <f>IF((X1013=0),0,BA975*AJ961)</f>
        <v>17983950.880000003</v>
      </c>
      <c r="AK1010" s="1787"/>
      <c r="AL1010" s="1787"/>
      <c r="AM1010" s="1787"/>
      <c r="AN1010" s="1787"/>
      <c r="AO1010" s="1787"/>
      <c r="AP1010" s="1787"/>
      <c r="AQ1010" s="1788"/>
      <c r="AR1010" s="68"/>
      <c r="AS1010" s="68"/>
      <c r="AT1010" s="68"/>
      <c r="AU1010" s="68"/>
      <c r="AV1010" s="68"/>
      <c r="AW1010" s="68"/>
      <c r="AX1010" s="68"/>
      <c r="AY1010" s="68"/>
    </row>
    <row r="1011" spans="1:51" ht="12.95" customHeight="1">
      <c r="A1011" s="14"/>
      <c r="B1011" s="73"/>
      <c r="C1011" s="477"/>
      <c r="D1011" s="1770" t="s">
        <v>1466</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3"/>
      <c r="AG1011" s="478"/>
      <c r="AH1011" s="478"/>
      <c r="AI1011" s="83"/>
      <c r="AJ1011" s="1789"/>
      <c r="AK1011" s="1790"/>
      <c r="AL1011" s="1790"/>
      <c r="AM1011" s="1790"/>
      <c r="AN1011" s="1790"/>
      <c r="AO1011" s="1790"/>
      <c r="AP1011" s="1790"/>
      <c r="AQ1011" s="1791"/>
      <c r="AR1011" s="68"/>
      <c r="AS1011" s="68"/>
      <c r="AT1011" s="68"/>
      <c r="AU1011" s="68"/>
      <c r="AV1011" s="68"/>
      <c r="AW1011" s="68"/>
      <c r="AX1011" s="68"/>
      <c r="AY1011" s="68"/>
    </row>
    <row r="1012" spans="1:51" ht="12.95" customHeight="1">
      <c r="A1012" s="14"/>
      <c r="B1012" s="73"/>
      <c r="C1012" s="477"/>
      <c r="D1012" s="1770"/>
      <c r="E1012" s="1771"/>
      <c r="F1012" s="1771"/>
      <c r="G1012" s="1771"/>
      <c r="H1012" s="1771"/>
      <c r="I1012" s="1771"/>
      <c r="J1012" s="1771"/>
      <c r="K1012" s="1771"/>
      <c r="L1012" s="1771"/>
      <c r="M1012" s="1771"/>
      <c r="N1012" s="1771"/>
      <c r="O1012" s="1771"/>
      <c r="P1012" s="1771"/>
      <c r="Q1012" s="1771"/>
      <c r="R1012" s="1771"/>
      <c r="S1012" s="1771"/>
      <c r="T1012" s="1771"/>
      <c r="U1012" s="1771"/>
      <c r="V1012" s="1771"/>
      <c r="W1012" s="1771"/>
      <c r="X1012" s="1771"/>
      <c r="Y1012" s="1771"/>
      <c r="Z1012" s="1771"/>
      <c r="AA1012" s="1771"/>
      <c r="AB1012" s="1771"/>
      <c r="AC1012" s="1771"/>
      <c r="AD1012" s="1771"/>
      <c r="AE1012" s="1772"/>
      <c r="AF1012" s="73"/>
      <c r="AG1012" s="478"/>
      <c r="AH1012" s="478"/>
      <c r="AI1012" s="83"/>
      <c r="AJ1012" s="1789"/>
      <c r="AK1012" s="1790"/>
      <c r="AL1012" s="1790"/>
      <c r="AM1012" s="1790"/>
      <c r="AN1012" s="1790"/>
      <c r="AO1012" s="1790"/>
      <c r="AP1012" s="1790"/>
      <c r="AQ1012" s="1791"/>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75">
        <f>BA973</f>
        <v>195</v>
      </c>
      <c r="J1013" s="1776"/>
      <c r="K1013" s="7"/>
      <c r="L1013" s="133"/>
      <c r="M1013" s="133"/>
      <c r="N1013" s="133"/>
      <c r="O1013" s="133"/>
      <c r="P1013" s="133"/>
      <c r="Q1013" s="133"/>
      <c r="R1013" s="133"/>
      <c r="S1013" s="133"/>
      <c r="T1013" s="133"/>
      <c r="U1013" s="133"/>
      <c r="V1013" s="134" t="s">
        <v>1014</v>
      </c>
      <c r="W1013" s="48"/>
      <c r="X1013" s="1773">
        <f>BG621</f>
        <v>29</v>
      </c>
      <c r="Y1013" s="1774"/>
      <c r="Z1013" s="48"/>
      <c r="AA1013" s="48"/>
      <c r="AB1013" s="48"/>
      <c r="AC1013" s="48"/>
      <c r="AD1013" s="48"/>
      <c r="AE1013" s="49"/>
      <c r="AF1013" s="958"/>
      <c r="AG1013" s="959"/>
      <c r="AH1013" s="959"/>
      <c r="AI1013" s="960"/>
      <c r="AJ1013" s="1792"/>
      <c r="AK1013" s="1793"/>
      <c r="AL1013" s="1793"/>
      <c r="AM1013" s="1793"/>
      <c r="AN1013" s="1793"/>
      <c r="AO1013" s="1793"/>
      <c r="AP1013" s="1793"/>
      <c r="AQ1013" s="1794"/>
      <c r="AR1013" s="68"/>
      <c r="AS1013" s="68"/>
      <c r="AT1013" s="68"/>
      <c r="AU1013" s="68"/>
      <c r="AV1013" s="68"/>
      <c r="AW1013" s="68"/>
      <c r="AX1013" s="68"/>
      <c r="AY1013" s="68"/>
    </row>
    <row r="1014" spans="1:51" ht="12.95" customHeight="1">
      <c r="A1014" s="14"/>
      <c r="B1014" s="79"/>
      <c r="C1014" s="131" t="s">
        <v>1947</v>
      </c>
      <c r="D1014" s="1767" t="s">
        <v>2131</v>
      </c>
      <c r="E1014" s="1768"/>
      <c r="F1014" s="1768"/>
      <c r="G1014" s="1768"/>
      <c r="H1014" s="1768"/>
      <c r="I1014" s="1768"/>
      <c r="J1014" s="1768"/>
      <c r="K1014" s="1768"/>
      <c r="L1014" s="1768"/>
      <c r="M1014" s="1768"/>
      <c r="N1014" s="1768"/>
      <c r="O1014" s="1768"/>
      <c r="P1014" s="1768"/>
      <c r="Q1014" s="1768"/>
      <c r="R1014" s="1768"/>
      <c r="S1014" s="1768"/>
      <c r="T1014" s="1768"/>
      <c r="U1014" s="1768"/>
      <c r="V1014" s="1768"/>
      <c r="W1014" s="1768"/>
      <c r="X1014" s="1768"/>
      <c r="Y1014" s="1768"/>
      <c r="Z1014" s="1768"/>
      <c r="AA1014" s="1768"/>
      <c r="AB1014" s="1768"/>
      <c r="AC1014" s="1768"/>
      <c r="AD1014" s="1768"/>
      <c r="AE1014" s="1769"/>
      <c r="AF1014" s="73"/>
      <c r="AG1014" s="1777" t="str">
        <f>IF(X1017&gt;0,"Yes","No")</f>
        <v>Yes</v>
      </c>
      <c r="AH1014" s="1778"/>
      <c r="AI1014" s="83"/>
      <c r="AJ1014" s="1786">
        <f>IF((X1017=0),0,(2*BA976)*AJ961)</f>
        <v>25691358.400000002</v>
      </c>
      <c r="AK1014" s="1787"/>
      <c r="AL1014" s="1787"/>
      <c r="AM1014" s="1787"/>
      <c r="AN1014" s="1787"/>
      <c r="AO1014" s="1787"/>
      <c r="AP1014" s="1787"/>
      <c r="AQ1014" s="1788"/>
      <c r="AR1014" s="68"/>
      <c r="AS1014" s="68"/>
      <c r="AT1014" s="68"/>
      <c r="AU1014" s="68"/>
      <c r="AV1014" s="68"/>
      <c r="AW1014" s="68"/>
      <c r="AX1014" s="68"/>
      <c r="AY1014" s="68"/>
    </row>
    <row r="1015" spans="1:51" ht="12.95" customHeight="1">
      <c r="A1015" s="14"/>
      <c r="B1015" s="73"/>
      <c r="C1015" s="477"/>
      <c r="D1015" s="1770" t="s">
        <v>1465</v>
      </c>
      <c r="E1015" s="1771"/>
      <c r="F1015" s="1771"/>
      <c r="G1015" s="1771"/>
      <c r="H1015" s="1771"/>
      <c r="I1015" s="1771"/>
      <c r="J1015" s="1771"/>
      <c r="K1015" s="1771"/>
      <c r="L1015" s="1771"/>
      <c r="M1015" s="1771"/>
      <c r="N1015" s="1771"/>
      <c r="O1015" s="1771"/>
      <c r="P1015" s="1771"/>
      <c r="Q1015" s="1771"/>
      <c r="R1015" s="1771"/>
      <c r="S1015" s="1771"/>
      <c r="T1015" s="1771"/>
      <c r="U1015" s="1771"/>
      <c r="V1015" s="1771"/>
      <c r="W1015" s="1771"/>
      <c r="X1015" s="1771"/>
      <c r="Y1015" s="1771"/>
      <c r="Z1015" s="1771"/>
      <c r="AA1015" s="1771"/>
      <c r="AB1015" s="1771"/>
      <c r="AC1015" s="1771"/>
      <c r="AD1015" s="1771"/>
      <c r="AE1015" s="1772"/>
      <c r="AF1015" s="73"/>
      <c r="AG1015" s="478"/>
      <c r="AH1015" s="478"/>
      <c r="AI1015" s="83"/>
      <c r="AJ1015" s="1789"/>
      <c r="AK1015" s="1790"/>
      <c r="AL1015" s="1790"/>
      <c r="AM1015" s="1790"/>
      <c r="AN1015" s="1790"/>
      <c r="AO1015" s="1790"/>
      <c r="AP1015" s="1790"/>
      <c r="AQ1015" s="1791"/>
      <c r="AR1015" s="68"/>
      <c r="AS1015" s="68"/>
      <c r="AT1015" s="68"/>
      <c r="AU1015" s="68"/>
      <c r="AV1015" s="68"/>
      <c r="AW1015" s="68"/>
      <c r="AX1015" s="68"/>
      <c r="AY1015" s="68"/>
    </row>
    <row r="1016" spans="1:51" ht="12.95" customHeight="1">
      <c r="A1016" s="14"/>
      <c r="B1016" s="73"/>
      <c r="C1016" s="83"/>
      <c r="D1016" s="1770"/>
      <c r="E1016" s="1771"/>
      <c r="F1016" s="1771"/>
      <c r="G1016" s="1771"/>
      <c r="H1016" s="1771"/>
      <c r="I1016" s="1771"/>
      <c r="J1016" s="1771"/>
      <c r="K1016" s="1771"/>
      <c r="L1016" s="1771"/>
      <c r="M1016" s="1771"/>
      <c r="N1016" s="1771"/>
      <c r="O1016" s="1771"/>
      <c r="P1016" s="1771"/>
      <c r="Q1016" s="1771"/>
      <c r="R1016" s="1771"/>
      <c r="S1016" s="1771"/>
      <c r="T1016" s="1771"/>
      <c r="U1016" s="1771"/>
      <c r="V1016" s="1771"/>
      <c r="W1016" s="1771"/>
      <c r="X1016" s="1771"/>
      <c r="Y1016" s="1771"/>
      <c r="Z1016" s="1771"/>
      <c r="AA1016" s="1771"/>
      <c r="AB1016" s="1771"/>
      <c r="AC1016" s="1771"/>
      <c r="AD1016" s="1771"/>
      <c r="AE1016" s="1772"/>
      <c r="AF1016" s="955"/>
      <c r="AG1016" s="956"/>
      <c r="AH1016" s="956"/>
      <c r="AI1016" s="957"/>
      <c r="AJ1016" s="1789"/>
      <c r="AK1016" s="1790"/>
      <c r="AL1016" s="1790"/>
      <c r="AM1016" s="1790"/>
      <c r="AN1016" s="1790"/>
      <c r="AO1016" s="1790"/>
      <c r="AP1016" s="1790"/>
      <c r="AQ1016" s="1791"/>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75">
        <f>BA973</f>
        <v>195</v>
      </c>
      <c r="J1017" s="1776"/>
      <c r="K1017" s="14"/>
      <c r="L1017" s="133"/>
      <c r="M1017" s="133"/>
      <c r="N1017" s="133"/>
      <c r="O1017" s="133"/>
      <c r="P1017" s="133"/>
      <c r="Q1017" s="133"/>
      <c r="R1017" s="133"/>
      <c r="S1017" s="133"/>
      <c r="T1017" s="133"/>
      <c r="U1017" s="133"/>
      <c r="V1017" s="134" t="s">
        <v>1015</v>
      </c>
      <c r="X1017" s="1773">
        <f>BK621</f>
        <v>20</v>
      </c>
      <c r="Y1017" s="1774"/>
      <c r="AF1017" s="958"/>
      <c r="AG1017" s="959"/>
      <c r="AH1017" s="959"/>
      <c r="AI1017" s="960"/>
      <c r="AJ1017" s="1792"/>
      <c r="AK1017" s="1793"/>
      <c r="AL1017" s="1793"/>
      <c r="AM1017" s="1793"/>
      <c r="AN1017" s="1793"/>
      <c r="AO1017" s="1793"/>
      <c r="AP1017" s="1793"/>
      <c r="AQ1017" s="1794"/>
      <c r="AR1017" s="68"/>
      <c r="AS1017" s="68"/>
      <c r="AT1017" s="68"/>
      <c r="AU1017" s="68"/>
      <c r="AV1017" s="68"/>
      <c r="AW1017" s="68"/>
      <c r="AX1017" s="68"/>
      <c r="AY1017" s="68"/>
    </row>
    <row r="1018" spans="1:51" ht="12.95" customHeight="1">
      <c r="A1018" s="14"/>
      <c r="B1018" s="102"/>
      <c r="C1018" s="103"/>
      <c r="D1018" s="1765" t="s">
        <v>523</v>
      </c>
      <c r="E1018" s="1765"/>
      <c r="F1018" s="1765"/>
      <c r="G1018" s="1765"/>
      <c r="H1018" s="1765"/>
      <c r="I1018" s="1765"/>
      <c r="J1018" s="1765"/>
      <c r="K1018" s="1765"/>
      <c r="L1018" s="1765"/>
      <c r="M1018" s="1765"/>
      <c r="N1018" s="1765"/>
      <c r="O1018" s="1765"/>
      <c r="P1018" s="1765"/>
      <c r="Q1018" s="1765"/>
      <c r="R1018" s="1765"/>
      <c r="S1018" s="1765"/>
      <c r="T1018" s="1765"/>
      <c r="U1018" s="1765"/>
      <c r="V1018" s="1765"/>
      <c r="W1018" s="1765"/>
      <c r="X1018" s="1765"/>
      <c r="Y1018" s="1765"/>
      <c r="Z1018" s="1765"/>
      <c r="AA1018" s="1765"/>
      <c r="AB1018" s="1765"/>
      <c r="AC1018" s="1765"/>
      <c r="AD1018" s="1765"/>
      <c r="AE1018" s="1765"/>
      <c r="AF1018" s="1765"/>
      <c r="AG1018" s="1765"/>
      <c r="AH1018" s="1765"/>
      <c r="AI1018" s="1766"/>
      <c r="AJ1018" s="1795">
        <f>SUM(AJ961:AQ1017)</f>
        <v>176732101.28</v>
      </c>
      <c r="AK1018" s="1796"/>
      <c r="AL1018" s="1796"/>
      <c r="AM1018" s="1796"/>
      <c r="AN1018" s="1796"/>
      <c r="AO1018" s="1796"/>
      <c r="AP1018" s="1796"/>
      <c r="AQ1018" s="1797"/>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8">
        <f>IF(ISNA(IF((AJ985&gt;(AJ961*0.15)),"(f) cannot be greater than 15% of unadjusted eligible basis.",0)),"",(IF((AJ985&gt;(AJ961*0.15)),"(f) cannot be greater than 15% of unadjusted eligible basis.",0)))</f>
        <v>0</v>
      </c>
      <c r="C1025" s="1728"/>
      <c r="D1025" s="1728"/>
      <c r="E1025" s="1728"/>
      <c r="F1025" s="1728"/>
      <c r="G1025" s="1728"/>
      <c r="H1025" s="1728"/>
      <c r="I1025" s="1728"/>
      <c r="J1025" s="1728"/>
      <c r="K1025" s="1728"/>
      <c r="L1025" s="1728"/>
      <c r="M1025" s="1728"/>
      <c r="N1025" s="1728"/>
      <c r="O1025" s="1728"/>
      <c r="P1025" s="1728"/>
      <c r="Q1025" s="1728"/>
      <c r="R1025" s="1728"/>
      <c r="S1025" s="1728"/>
      <c r="T1025" s="1728"/>
      <c r="U1025" s="1728"/>
      <c r="V1025" s="1728"/>
      <c r="W1025" s="1728"/>
      <c r="X1025" s="1728"/>
      <c r="Y1025" s="1728"/>
      <c r="Z1025" s="1728"/>
      <c r="AA1025" s="1728"/>
      <c r="AB1025" s="1728"/>
      <c r="AC1025" s="1728"/>
      <c r="AD1025" s="1728"/>
      <c r="AE1025" s="1728"/>
      <c r="AF1025" s="1728"/>
      <c r="AG1025" s="1728"/>
      <c r="AH1025" s="1728"/>
      <c r="AI1025" s="1728"/>
      <c r="AJ1025" s="1728"/>
      <c r="AK1025" s="1728"/>
      <c r="AL1025" s="68"/>
      <c r="AM1025" s="68"/>
      <c r="AN1025" s="68"/>
      <c r="AO1025" s="68"/>
      <c r="AP1025" s="68"/>
      <c r="AQ1025" s="68"/>
      <c r="AR1025" s="68"/>
      <c r="AS1025" s="68"/>
      <c r="AT1025" s="68"/>
      <c r="AU1025" s="68"/>
      <c r="AV1025" s="68"/>
      <c r="AW1025" s="68"/>
      <c r="AX1025" s="68"/>
      <c r="AY1025" s="68"/>
    </row>
    <row r="1026" spans="1:51" ht="12.95" customHeight="1" thickBot="1">
      <c r="A1026" s="1673" t="s">
        <v>819</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3"/>
      <c r="AF1026" s="1673"/>
      <c r="AG1026" s="1673"/>
      <c r="AH1026" s="1673"/>
      <c r="AI1026" s="1673"/>
      <c r="AJ1026" s="1673"/>
      <c r="AK1026" s="1673"/>
      <c r="AL1026" s="1673"/>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8" t="s">
        <v>601</v>
      </c>
      <c r="B1030" s="1378"/>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78" t="s">
        <v>601</v>
      </c>
      <c r="B1036" s="1378"/>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78" t="s">
        <v>601</v>
      </c>
      <c r="B1042" s="1378"/>
      <c r="C1042" s="8">
        <v>3</v>
      </c>
      <c r="D1042" s="1262" t="s">
        <v>2559</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78" t="s">
        <v>601</v>
      </c>
      <c r="B1049" s="1378"/>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78" t="s">
        <v>601</v>
      </c>
      <c r="B1052" s="1378"/>
      <c r="C1052" s="8">
        <v>5</v>
      </c>
      <c r="D1052" s="1262" t="s">
        <v>2560</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78" t="s">
        <v>601</v>
      </c>
      <c r="B1057" s="1378"/>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78" t="s">
        <v>601</v>
      </c>
      <c r="B1060" s="1378"/>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78" t="s">
        <v>601</v>
      </c>
      <c r="B1064" s="1378"/>
      <c r="C1064" s="212">
        <v>8</v>
      </c>
      <c r="D1064" s="1346" t="s">
        <v>1944</v>
      </c>
      <c r="E1064" s="1346"/>
      <c r="F1064" s="1346"/>
      <c r="G1064" s="1346"/>
      <c r="H1064" s="1346"/>
      <c r="I1064" s="1346"/>
      <c r="J1064" s="1346"/>
      <c r="K1064" s="1346"/>
      <c r="L1064" s="1346"/>
      <c r="M1064" s="1346"/>
      <c r="N1064" s="1346"/>
      <c r="O1064" s="1346"/>
      <c r="P1064" s="1346"/>
      <c r="Q1064" s="1346"/>
      <c r="R1064" s="1346"/>
      <c r="S1064" s="1346"/>
      <c r="T1064" s="1346"/>
      <c r="U1064" s="1346"/>
      <c r="V1064" s="1346"/>
      <c r="W1064" s="1346"/>
      <c r="X1064" s="1346"/>
      <c r="Y1064" s="1346"/>
      <c r="Z1064" s="1346"/>
      <c r="AA1064" s="1346"/>
      <c r="AB1064" s="1346"/>
      <c r="AC1064" s="1346"/>
      <c r="AD1064" s="1346"/>
      <c r="AE1064" s="1346"/>
      <c r="AF1064" s="1346"/>
      <c r="AG1064" s="1346"/>
      <c r="AH1064" s="1346"/>
      <c r="AI1064" s="1346"/>
      <c r="AJ1064" s="1346"/>
      <c r="AK1064" s="1346"/>
    </row>
    <row r="1065" spans="1:37" ht="12.95" customHeight="1">
      <c r="A1065" s="1"/>
      <c r="B1065" s="1"/>
      <c r="C1065" s="212"/>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6"/>
      <c r="W1065" s="1346"/>
      <c r="X1065" s="1346"/>
      <c r="Y1065" s="1346"/>
      <c r="Z1065" s="1346"/>
      <c r="AA1065" s="1346"/>
      <c r="AB1065" s="1346"/>
      <c r="AC1065" s="1346"/>
      <c r="AD1065" s="1346"/>
      <c r="AE1065" s="1346"/>
      <c r="AF1065" s="1346"/>
      <c r="AG1065" s="1346"/>
      <c r="AH1065" s="1346"/>
      <c r="AI1065" s="1346"/>
      <c r="AJ1065" s="1346"/>
      <c r="AK1065" s="1346"/>
    </row>
    <row r="1066" spans="1:37" ht="12.95" customHeight="1">
      <c r="A1066" s="1"/>
      <c r="B1066" s="1"/>
      <c r="C1066" s="212"/>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c r="X1066" s="1346"/>
      <c r="Y1066" s="1346"/>
      <c r="Z1066" s="1346"/>
      <c r="AA1066" s="1346"/>
      <c r="AB1066" s="1346"/>
      <c r="AC1066" s="1346"/>
      <c r="AD1066" s="1346"/>
      <c r="AE1066" s="1346"/>
      <c r="AF1066" s="1346"/>
      <c r="AG1066" s="1346"/>
      <c r="AH1066" s="1346"/>
      <c r="AI1066" s="1346"/>
      <c r="AJ1066" s="1346"/>
      <c r="AK1066" s="1346"/>
    </row>
    <row r="1067" spans="1:37" ht="12.95" customHeight="1">
      <c r="A1067" s="35"/>
      <c r="B1067" s="25"/>
      <c r="C1067" s="212"/>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c r="X1067" s="1346"/>
      <c r="Y1067" s="1346"/>
      <c r="Z1067" s="1346"/>
      <c r="AA1067" s="1346"/>
      <c r="AB1067" s="1346"/>
      <c r="AC1067" s="1346"/>
      <c r="AD1067" s="1346"/>
      <c r="AE1067" s="1346"/>
      <c r="AF1067" s="1346"/>
      <c r="AG1067" s="1346"/>
      <c r="AH1067" s="1346"/>
      <c r="AI1067" s="1346"/>
      <c r="AJ1067" s="1346"/>
      <c r="AK1067" s="1346"/>
    </row>
    <row r="1068" spans="1:37" ht="12.95" customHeight="1">
      <c r="A1068" s="1378" t="s">
        <v>601</v>
      </c>
      <c r="B1068" s="1378"/>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C560:L560"/>
    <mergeCell ref="M560:P560"/>
    <mergeCell ref="C561:L561"/>
    <mergeCell ref="M561:P561"/>
    <mergeCell ref="B620:L622"/>
    <mergeCell ref="C623:L623"/>
    <mergeCell ref="C631:L63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C814:H814"/>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M928:S928"/>
    <mergeCell ref="W862:AC862"/>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X727:AB727"/>
    <mergeCell ref="T731:W731"/>
    <mergeCell ref="G735:J735"/>
    <mergeCell ref="AC739:AG739"/>
    <mergeCell ref="O739:S739"/>
    <mergeCell ref="AH726:AJ726"/>
    <mergeCell ref="Z798:AE798"/>
    <mergeCell ref="W829:AC829"/>
    <mergeCell ref="U914:Z914"/>
    <mergeCell ref="AG807:AJ808"/>
    <mergeCell ref="W838:AC838"/>
    <mergeCell ref="W846:AC846"/>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B727:F727"/>
    <mergeCell ref="B726:F72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R957:AA957"/>
    <mergeCell ref="R958:AA95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30:AJ730"/>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H602:CL602"/>
    <mergeCell ref="CS607:CW607"/>
    <mergeCell ref="BG610:BH610"/>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AO624:AS624"/>
    <mergeCell ref="AO627:AS627"/>
    <mergeCell ref="CH610:CL610"/>
    <mergeCell ref="AO636:AS63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34:BR634"/>
    <mergeCell ref="BX619:CB619"/>
    <mergeCell ref="BG619:BH619"/>
    <mergeCell ref="BN613:BR613"/>
    <mergeCell ref="CH614:CL614"/>
    <mergeCell ref="G710:J713"/>
    <mergeCell ref="K710:N713"/>
    <mergeCell ref="CC614:CG614"/>
    <mergeCell ref="BK618:BL618"/>
    <mergeCell ref="BK613:BL613"/>
    <mergeCell ref="BI612:BJ612"/>
    <mergeCell ref="BK612:BL612"/>
    <mergeCell ref="BS610:BW610"/>
    <mergeCell ref="N611:O611"/>
    <mergeCell ref="AK625:AN625"/>
    <mergeCell ref="BI619:BJ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Y785:AC785"/>
    <mergeCell ref="J768:N771"/>
    <mergeCell ref="T720:W720"/>
    <mergeCell ref="B714:F714"/>
    <mergeCell ref="AH721:AJ721"/>
    <mergeCell ref="G716:J716"/>
    <mergeCell ref="B717:F717"/>
    <mergeCell ref="X717:AB717"/>
    <mergeCell ref="X723:AB723"/>
    <mergeCell ref="B719:F719"/>
    <mergeCell ref="T718:W718"/>
    <mergeCell ref="B721:F721"/>
    <mergeCell ref="B720:F720"/>
    <mergeCell ref="B724:F724"/>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T715:W715"/>
    <mergeCell ref="AH720:AJ720"/>
    <mergeCell ref="T716:W716"/>
    <mergeCell ref="K716:N716"/>
    <mergeCell ref="AH722:AJ722"/>
    <mergeCell ref="G715:J715"/>
    <mergeCell ref="AC723:AG723"/>
    <mergeCell ref="AC724:AG724"/>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U913:Z913"/>
    <mergeCell ref="U909:Z909"/>
    <mergeCell ref="AA902:AF902"/>
    <mergeCell ref="U907:Z907"/>
    <mergeCell ref="AA906:AF906"/>
    <mergeCell ref="AB900:AE900"/>
    <mergeCell ref="M845:V845"/>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AA905:AF90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Z791:AE791"/>
    <mergeCell ref="AG815:AJ815"/>
    <mergeCell ref="Y815:AB815"/>
    <mergeCell ref="O738:S738"/>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X731:AB731"/>
    <mergeCell ref="X732:AB732"/>
    <mergeCell ref="X733:AB733"/>
    <mergeCell ref="AH777:AL777"/>
    <mergeCell ref="T732:W732"/>
    <mergeCell ref="U811:X811"/>
    <mergeCell ref="Y810:AB810"/>
    <mergeCell ref="AC810:AF810"/>
    <mergeCell ref="AC811:AF811"/>
    <mergeCell ref="AC762:AG762"/>
    <mergeCell ref="Q807:T808"/>
    <mergeCell ref="Z793:AE793"/>
    <mergeCell ref="AG812:AJ812"/>
    <mergeCell ref="AG816:AJ816"/>
    <mergeCell ref="W828:AC828"/>
    <mergeCell ref="AC816:AF816"/>
    <mergeCell ref="W830:AC830"/>
    <mergeCell ref="W835:AC835"/>
    <mergeCell ref="W826:AC826"/>
    <mergeCell ref="W831:AC831"/>
    <mergeCell ref="W841:AC841"/>
    <mergeCell ref="AC812:AF812"/>
    <mergeCell ref="U807:X808"/>
    <mergeCell ref="T733:W733"/>
    <mergeCell ref="Z790:AE790"/>
    <mergeCell ref="AG813:AJ813"/>
    <mergeCell ref="AG811:AJ811"/>
    <mergeCell ref="M810:P810"/>
    <mergeCell ref="O782:S782"/>
    <mergeCell ref="AZ840:BA840"/>
    <mergeCell ref="W860:AC860"/>
    <mergeCell ref="C809:H809"/>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AC346:AE346"/>
    <mergeCell ref="Q390:U390"/>
    <mergeCell ref="AD376:AE376"/>
    <mergeCell ref="AA602:AK602"/>
    <mergeCell ref="AC370:AF370"/>
    <mergeCell ref="G597:R597"/>
    <mergeCell ref="Q389:U389"/>
    <mergeCell ref="E367:AH368"/>
    <mergeCell ref="AA339:AF339"/>
    <mergeCell ref="I391:N391"/>
    <mergeCell ref="G607:R607"/>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N371:Q371"/>
    <mergeCell ref="B635:AN635"/>
    <mergeCell ref="B636:AN636"/>
    <mergeCell ref="B637:AN637"/>
    <mergeCell ref="AC626:AE626"/>
    <mergeCell ref="AC627:AE627"/>
    <mergeCell ref="AC628:AE628"/>
    <mergeCell ref="Z642:AK642"/>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W631:Y631"/>
    <mergeCell ref="W632:Y632"/>
    <mergeCell ref="W633:Y633"/>
    <mergeCell ref="W634:Y634"/>
    <mergeCell ref="C556:L556"/>
    <mergeCell ref="M556:P556"/>
    <mergeCell ref="C557:L557"/>
    <mergeCell ref="W620:Y622"/>
    <mergeCell ref="T620:V622"/>
    <mergeCell ref="C558:L558"/>
    <mergeCell ref="M558:P558"/>
    <mergeCell ref="C559:L559"/>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292:AK292"/>
    <mergeCell ref="AI314:AK314"/>
    <mergeCell ref="AA303:AK303"/>
    <mergeCell ref="AA311:AK311"/>
    <mergeCell ref="AI306:AK306"/>
    <mergeCell ref="L278:AD278"/>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AI226:AJ226"/>
    <mergeCell ref="U175:V175"/>
    <mergeCell ref="I184:AE184"/>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C515:AF515"/>
    <mergeCell ref="AH499:AK499"/>
    <mergeCell ref="AH504:AK504"/>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Z575:AK575"/>
    <mergeCell ref="AC513:AF513"/>
    <mergeCell ref="AC512:AF51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I577:AK577"/>
    <mergeCell ref="AG587:AH587"/>
    <mergeCell ref="T559:V559"/>
    <mergeCell ref="Z584:AK584"/>
    <mergeCell ref="Z560:AD560"/>
    <mergeCell ref="Z561:AD561"/>
    <mergeCell ref="Z568:AE568"/>
    <mergeCell ref="Z574:AK574"/>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G608:BH608"/>
    <mergeCell ref="CH615:CL615"/>
    <mergeCell ref="BE612:BF612"/>
    <mergeCell ref="BN617:BR617"/>
    <mergeCell ref="BK616:BL616"/>
    <mergeCell ref="BG620:BH620"/>
    <mergeCell ref="BI620:BJ620"/>
    <mergeCell ref="CH613:CL613"/>
    <mergeCell ref="BN619:BR619"/>
    <mergeCell ref="BE619:BF619"/>
    <mergeCell ref="BS616:BW61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06:BL606"/>
    <mergeCell ref="BN606:BR606"/>
    <mergeCell ref="BS606:BW606"/>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603:BH603"/>
    <mergeCell ref="Z593:AE593"/>
    <mergeCell ref="BG595:BH595"/>
    <mergeCell ref="BG598:BH598"/>
    <mergeCell ref="BN597:BR597"/>
    <mergeCell ref="O731:S731"/>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O759:S759"/>
    <mergeCell ref="B738:F738"/>
    <mergeCell ref="AK735:AO735"/>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AI568:AK568"/>
    <mergeCell ref="Z599:AK599"/>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I601:AK601"/>
    <mergeCell ref="AM553:AS553"/>
    <mergeCell ref="AE553:AH553"/>
    <mergeCell ref="AC503:AF503"/>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E559:AH559"/>
    <mergeCell ref="AE557:AH557"/>
    <mergeCell ref="AH530:AK530"/>
    <mergeCell ref="AH513:AK513"/>
    <mergeCell ref="AC514:AF514"/>
    <mergeCell ref="AC519:AF519"/>
    <mergeCell ref="AH507:AK507"/>
    <mergeCell ref="W554:Y554"/>
    <mergeCell ref="Q553:S553"/>
    <mergeCell ref="Q554:S554"/>
    <mergeCell ref="Z557:AD557"/>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C501:AF501"/>
    <mergeCell ref="AC524:AF524"/>
    <mergeCell ref="AH529:AK529"/>
    <mergeCell ref="AH538:AK538"/>
    <mergeCell ref="AI549:AL549"/>
    <mergeCell ref="AM550:AS550"/>
    <mergeCell ref="AM558:AS558"/>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s>
  <phoneticPr fontId="0" type="noConversion"/>
  <conditionalFormatting sqref="AF986">
    <cfRule type="cellIs" dxfId="211" priority="44" stopIfTrue="1" operator="equal">
      <formula>"Please Enter Amount:"</formula>
    </cfRule>
  </conditionalFormatting>
  <conditionalFormatting sqref="AJ1010">
    <cfRule type="cellIs" dxfId="210" priority="47" stopIfTrue="1" operator="equal">
      <formula>"#DIV/0!"</formula>
    </cfRule>
  </conditionalFormatting>
  <conditionalFormatting sqref="AG440:AJ440">
    <cfRule type="expression" dxfId="209" priority="48" stopIfTrue="1">
      <formula>"iserror(d31)"</formula>
    </cfRule>
  </conditionalFormatting>
  <conditionalFormatting sqref="AF998">
    <cfRule type="cellIs" dxfId="208" priority="42" stopIfTrue="1" operator="equal">
      <formula>"Please Enter Amount:"</formula>
    </cfRule>
  </conditionalFormatting>
  <conditionalFormatting sqref="AF991">
    <cfRule type="cellIs" dxfId="207" priority="41" stopIfTrue="1" operator="equal">
      <formula>"Please Enter Amount:"</formula>
    </cfRule>
  </conditionalFormatting>
  <conditionalFormatting sqref="D211:X211">
    <cfRule type="expression" dxfId="206" priority="40">
      <formula>NOT($D$210="Special Needs")</formula>
    </cfRule>
  </conditionalFormatting>
  <conditionalFormatting sqref="Y211:AC211">
    <cfRule type="expression" dxfId="205" priority="39">
      <formula>NOT($D$210="Special Needs")</formula>
    </cfRule>
  </conditionalFormatting>
  <conditionalFormatting sqref="D214:U214">
    <cfRule type="expression" dxfId="204" priority="37">
      <formula>NOT(OR($D$213="Seniors",$D$210="Seniors"))</formula>
    </cfRule>
  </conditionalFormatting>
  <conditionalFormatting sqref="AA214:AO214">
    <cfRule type="expression" dxfId="203" priority="38">
      <formula>NOT(OR($D$213="Seniors",$D$210="Seniors"))</formula>
    </cfRule>
  </conditionalFormatting>
  <conditionalFormatting sqref="D212">
    <cfRule type="expression" dxfId="202" priority="36">
      <formula>AND($Y$211&gt;0,$AB$211&lt;75%)</formula>
    </cfRule>
  </conditionalFormatting>
  <conditionalFormatting sqref="D213:Z213">
    <cfRule type="expression" dxfId="201" priority="35">
      <formula>AND($Y$211&gt;0,$AB$211&lt;75%)</formula>
    </cfRule>
  </conditionalFormatting>
  <conditionalFormatting sqref="D215">
    <cfRule type="expression" dxfId="200" priority="33">
      <formula>NOT($D$210="At-Risk")</formula>
    </cfRule>
  </conditionalFormatting>
  <conditionalFormatting sqref="AB215:AM215">
    <cfRule type="expression" dxfId="199" priority="34">
      <formula>NOT($D$210="At-Risk")</formula>
    </cfRule>
  </conditionalFormatting>
  <conditionalFormatting sqref="L506:AB506">
    <cfRule type="expression" dxfId="198" priority="32">
      <formula>AND(NOT(AC506="N/A"),AH506&lt;&gt;"",OR(L506="(specify here)",L506=""))</formula>
    </cfRule>
  </conditionalFormatting>
  <conditionalFormatting sqref="O518:AA518">
    <cfRule type="expression" dxfId="197" priority="31">
      <formula>AND(OR(AND(NOT(AC518="N/A"),AH518&lt;&gt;""),AND(NOT(AC519="N/A"),AH519&lt;&gt;""),AND(NOT(AC520="N/A"),AH520&lt;&gt;"")),OR(O518="(specify here)",O518=""))</formula>
    </cfRule>
  </conditionalFormatting>
  <conditionalFormatting sqref="O521:AA521">
    <cfRule type="expression" dxfId="196" priority="30">
      <formula>AND(OR(AND(NOT(AC521="N/A"),AH521&lt;&gt;""),AND(NOT(AC522="N/A"),AH522&lt;&gt;""),AND(NOT(AC523="N/A"),AH523&lt;&gt;"")),OR(O521="(specify here)",O521=""))</formula>
    </cfRule>
  </conditionalFormatting>
  <conditionalFormatting sqref="O524:AA524">
    <cfRule type="expression" dxfId="195" priority="29">
      <formula>AND(OR(AND(NOT(AC524="N/A"),AH524&lt;&gt;""),AND(NOT(AC525="N/A"),AH525&lt;&gt;""),AND(NOT(AC526="N/A"),AH526&lt;&gt;"")),OR(O524="(specify here)",O524=""))</formula>
    </cfRule>
  </conditionalFormatting>
  <conditionalFormatting sqref="O527:AA527">
    <cfRule type="expression" dxfId="194" priority="28">
      <formula>AND(OR(AND(NOT(AC527="N/A"),AH527&lt;&gt;""),AND(NOT(AC528="N/A"),AH528&lt;&gt;""),AND(NOT(AC529="N/A"),AH529&lt;&gt;"")),OR(O527="(specify here)",O527=""))</formula>
    </cfRule>
  </conditionalFormatting>
  <conditionalFormatting sqref="O530:AA530">
    <cfRule type="expression" dxfId="193" priority="27">
      <formula>AND(OR(AND(NOT(AC530="N/A"),AH530&lt;&gt;""),AND(NOT(AC531="N/A"),AH531&lt;&gt;""),AND(NOT(AC532="N/A"),AH532&lt;&gt;"")),OR(O530="(specify here)",O530=""))</formula>
    </cfRule>
  </conditionalFormatting>
  <conditionalFormatting sqref="O533:AA533">
    <cfRule type="expression" dxfId="192" priority="26">
      <formula>AND(OR(AND(NOT(AC533="N/A"),AH533&lt;&gt;""),AND(NOT(AC534="N/A"),AH534&lt;&gt;""),AND(NOT(AC535="N/A"),AH535&lt;&gt;"")),OR(O533="(specify here)",O533=""))</formula>
    </cfRule>
  </conditionalFormatting>
  <conditionalFormatting sqref="Q555:AS561 C555:C561 AC626:AS634 Q626:Z634">
    <cfRule type="expression" dxfId="191" priority="25">
      <formula>$AT555="!"</formula>
    </cfRule>
  </conditionalFormatting>
  <conditionalFormatting sqref="C626:C634">
    <cfRule type="expression" dxfId="190" priority="24">
      <formula>$AT626="!"</formula>
    </cfRule>
  </conditionalFormatting>
  <conditionalFormatting sqref="E703:AK703">
    <cfRule type="expression" dxfId="189" priority="23">
      <formula>AND($W$702="Other",OR($E$703="(specify here)",$E$703=""))</formula>
    </cfRule>
  </conditionalFormatting>
  <conditionalFormatting sqref="B740:AH741">
    <cfRule type="expression" dxfId="188" priority="22">
      <formula>NOT($D$210="Special Needs")</formula>
    </cfRule>
  </conditionalFormatting>
  <conditionalFormatting sqref="AG742:AJ742">
    <cfRule type="expression" dxfId="187" priority="20">
      <formula>NOT($D$210="Special Needs")</formula>
    </cfRule>
  </conditionalFormatting>
  <conditionalFormatting sqref="U742">
    <cfRule type="expression" dxfId="186" priority="21">
      <formula>NOT($D$210="Special Needs")</formula>
    </cfRule>
  </conditionalFormatting>
  <conditionalFormatting sqref="M858:V862">
    <cfRule type="expression" dxfId="185" priority="14">
      <formula>AND(W858&lt;&gt;"",OR(M858="(specify here)",M858=""))</formula>
    </cfRule>
  </conditionalFormatting>
  <conditionalFormatting sqref="C877:AB877">
    <cfRule type="expression" dxfId="184" priority="12">
      <formula>AND(AC877&lt;&gt;"",OR(C877="Other (Specify):",C877=""))</formula>
    </cfRule>
  </conditionalFormatting>
  <conditionalFormatting sqref="C878:AB878">
    <cfRule type="expression" dxfId="183" priority="10">
      <formula>AND(AC878&lt;&gt;"",OR(C878="Other (Specify):",C878=""))</formula>
    </cfRule>
  </conditionalFormatting>
  <conditionalFormatting sqref="W944:AG944">
    <cfRule type="expression" dxfId="182" priority="9">
      <formula>AND($AA$923&lt;&gt;"",OR($W$922="",$W$922="(specify here)"))</formula>
    </cfRule>
  </conditionalFormatting>
  <conditionalFormatting sqref="Q551:AS554 C551:C554">
    <cfRule type="expression" dxfId="181" priority="8">
      <formula>$AT551="!"</formula>
    </cfRule>
  </conditionalFormatting>
  <conditionalFormatting sqref="AC624:AS625 Q624:Z625">
    <cfRule type="expression" dxfId="180" priority="7">
      <formula>$AT624="!"</formula>
    </cfRule>
  </conditionalFormatting>
  <conditionalFormatting sqref="C624:C625">
    <cfRule type="expression" dxfId="179" priority="6">
      <formula>$AT624="!"</formula>
    </cfRule>
  </conditionalFormatting>
  <conditionalFormatting sqref="F815:L815">
    <cfRule type="expression" dxfId="178" priority="5">
      <formula>AND(OR(M815&lt;&gt;"",$Q$795&lt;&gt;"",$U$795&lt;&gt;"",$Y$795&lt;&gt;"",$AC$795&lt;&gt;"",$AG$795&lt;&gt;"",SUM($M$815:$AJ$815)&gt;0),OR(F815="(specify here)",F815=""))</formula>
    </cfRule>
  </conditionalFormatting>
  <conditionalFormatting sqref="M830:V830">
    <cfRule type="expression" dxfId="177" priority="4">
      <formula>AND(W830&lt;&gt;"",OR(M830="(specify here)",M830=""))</formula>
    </cfRule>
  </conditionalFormatting>
  <conditionalFormatting sqref="M845:V845">
    <cfRule type="expression" dxfId="176" priority="3">
      <formula>AND(W845&lt;&gt;"",OR(M845="(specify here)",M845=""))</formula>
    </cfRule>
  </conditionalFormatting>
  <conditionalFormatting sqref="M855:V855">
    <cfRule type="expression" dxfId="175" priority="2">
      <formula>AND(W855&lt;&gt;"",OR(M855="(specify here)",M855=""))</formula>
    </cfRule>
  </conditionalFormatting>
  <conditionalFormatting sqref="P800:Y800">
    <cfRule type="expression" dxfId="174" priority="1">
      <formula>AND(Z800&lt;&gt;"",OR(P800="(specify here)",P800=""))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N645 N587 AG653 AG645 AG603 AG595 AG579 AG587 N603 N579 N595 T194:T196 N611 AG571 N571 Y198 O33:P33 X180 R177 AP204 N653" xr:uid="{00000000-0002-0000-0400-000001000000}">
      <formula1>"Yes, No"</formula1>
    </dataValidation>
    <dataValidation type="list" allowBlank="1" showInputMessage="1" showErrorMessage="1" sqref="AG976 AG985 AG994 AG963 AG966 AG1001 AG1006 AG972 AG978 AG981 AG990 AG997 Q487"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I388:AJ388 Z431:AA431 AI396:AJ396 AI391:AJ391 AE689:AF690" xr:uid="{00000000-0002-0000-0400-000005000000}">
      <formula1>"No, Yes"</formula1>
    </dataValidation>
    <dataValidation type="decimal" allowBlank="1" showInputMessage="1" showErrorMessage="1" error="example: enter 30 for 30%, hit cancel and try again._x000a_" sqref="AD716:AG738 AK758:AL761 AH772:AL781 AI759:AJ762 AH758:AH761 AC714: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0:AI210 AH194:AI197" xr:uid="{00000000-0002-0000-0400-00000D000000}">
      <formula1>0</formula1>
      <formula2>999</formula2>
    </dataValidation>
    <dataValidation type="list" showInputMessage="1" showErrorMessage="1" sqref="D207:M207" xr:uid="{95DFF0A3-6B03-449B-AA00-C46C24CE4B16}">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48:T248 M264:T264 M256:T256"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58:AK258 AF242:AK242 AF250:AK250"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Q623:V634 Q550:V561 AE550:AH561 AG393:AJ393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EEC6208C-9980-4755-BC87-7B8DCB1F4D26}">
      <formula1>$BT$156:$BT$214</formula1>
    </dataValidation>
    <dataValidation type="list" allowBlank="1" showInputMessage="1" showErrorMessage="1" sqref="T193:AI193" xr:uid="{23474A9D-34E2-462C-A63E-3375BA2BE21C}">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56A5B723-E8B5-4561-B74F-5A19A4D0BD87}">
      <formula1>"N/A,1,2,3,4,5,6,7,8,9,10,11,12"</formula1>
    </dataValidation>
    <dataValidation type="list" allowBlank="1" showInputMessage="1" showErrorMessage="1" sqref="AC507:AF507" xr:uid="{6F09C596-02C5-4FE8-B159-CEB3D7868951}">
      <formula1>"(select),Yes,No"</formula1>
    </dataValidation>
    <dataValidation type="list" allowBlank="1" showInputMessage="1" showErrorMessage="1" sqref="D269:H269" xr:uid="{234499D1-F9D3-4113-BC2D-A712B986CFE8}">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86940FD9-D51D-4ABE-9B81-583D3CA61C59}">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EFFFDEBA-6FED-4D2C-AA28-926FE9D23580}">
      <formula1>"(select),$500M,15% set-aside,15% set-aside with qualifying low value rehab"</formula1>
    </dataValidation>
    <dataValidation type="list" showInputMessage="1" showErrorMessage="1" sqref="D210:M210" xr:uid="{0F0C567A-64C5-4E77-BB65-EF4499834661}">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AI550:AS561 AF623:AS634 W550:Y561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51" zoomScaleNormal="100" zoomScaleSheetLayoutView="90" workbookViewId="0">
      <selection activeCell="C75" sqref="C7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77" t="s">
        <v>631</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376</v>
      </c>
      <c r="D2" s="138" t="s">
        <v>375</v>
      </c>
      <c r="E2" s="138" t="s">
        <v>24</v>
      </c>
      <c r="F2" s="139" t="str">
        <f>Application!B623&amp;Application!C623</f>
        <v>1)Tax-Exempt Bonds</v>
      </c>
      <c r="G2" s="139" t="str">
        <f>Application!B624&amp;Application!C624</f>
        <v>2)MIP Loan</v>
      </c>
      <c r="H2" s="139" t="str">
        <f>Application!B625&amp;Application!C625</f>
        <v>3)Deferred Developer Fee</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2466680</v>
      </c>
      <c r="C4" s="147">
        <f>[5]Application!Q390</f>
        <v>2466680</v>
      </c>
      <c r="D4" s="147"/>
      <c r="E4" s="147"/>
      <c r="F4" s="147">
        <f>C4</f>
        <v>2466680</v>
      </c>
      <c r="G4" s="147"/>
      <c r="H4" s="147"/>
      <c r="I4" s="147"/>
      <c r="J4" s="147"/>
      <c r="K4" s="147"/>
      <c r="L4" s="147"/>
      <c r="M4" s="147"/>
      <c r="N4" s="147"/>
      <c r="O4" s="147"/>
      <c r="P4" s="147"/>
      <c r="Q4" s="147"/>
      <c r="R4" s="551">
        <f>SUM(E4:Q4)</f>
        <v>2466680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110640</v>
      </c>
      <c r="C6" s="147">
        <f>50000+60640</f>
        <v>110640</v>
      </c>
      <c r="D6" s="147"/>
      <c r="E6" s="147"/>
      <c r="F6" s="147">
        <f>C6</f>
        <v>110640</v>
      </c>
      <c r="G6" s="147"/>
      <c r="H6" s="147"/>
      <c r="I6" s="147"/>
      <c r="J6" s="147"/>
      <c r="K6" s="147"/>
      <c r="L6" s="147"/>
      <c r="M6" s="147"/>
      <c r="N6" s="147"/>
      <c r="O6" s="147"/>
      <c r="P6" s="147"/>
      <c r="Q6" s="147"/>
      <c r="R6" s="551">
        <f>SUM(E6:Q6)</f>
        <v>110640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2577320</v>
      </c>
      <c r="C8" s="146">
        <f t="shared" ref="C8:Q8" si="0">SUM(C4:C7)</f>
        <v>2577320</v>
      </c>
      <c r="D8" s="146">
        <f t="shared" si="0"/>
        <v>0</v>
      </c>
      <c r="E8" s="146">
        <f t="shared" si="0"/>
        <v>0</v>
      </c>
      <c r="F8" s="146">
        <f t="shared" si="0"/>
        <v>2577320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2577320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2577320</v>
      </c>
      <c r="C12" s="146">
        <f t="shared" si="2"/>
        <v>2577320</v>
      </c>
      <c r="D12" s="146">
        <f t="shared" si="2"/>
        <v>0</v>
      </c>
      <c r="E12" s="146">
        <f t="shared" si="2"/>
        <v>0</v>
      </c>
      <c r="F12" s="146">
        <f t="shared" si="2"/>
        <v>2577320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2577320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199"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10192000</v>
      </c>
      <c r="C29" s="147">
        <v>10192000</v>
      </c>
      <c r="D29" s="147"/>
      <c r="E29" s="147">
        <f>C29</f>
        <v>10192000</v>
      </c>
      <c r="F29" s="147"/>
      <c r="G29" s="147"/>
      <c r="H29" s="147"/>
      <c r="I29" s="147"/>
      <c r="J29" s="147"/>
      <c r="K29" s="147"/>
      <c r="L29" s="147"/>
      <c r="M29" s="147"/>
      <c r="N29" s="147"/>
      <c r="O29" s="147"/>
      <c r="P29" s="147"/>
      <c r="Q29" s="147"/>
      <c r="R29" s="551">
        <f t="shared" ref="R29:R37" si="7">SUM(E29:Q29)</f>
        <v>10192000</v>
      </c>
      <c r="S29" s="147">
        <f>C29</f>
        <v>10192000</v>
      </c>
      <c r="T29" s="147"/>
      <c r="U29" s="143"/>
    </row>
    <row r="30" spans="1:21" s="144" customFormat="1">
      <c r="A30" s="145" t="s">
        <v>609</v>
      </c>
      <c r="B30" s="146">
        <f t="shared" si="6"/>
        <v>27114855</v>
      </c>
      <c r="C30" s="147">
        <v>27114855</v>
      </c>
      <c r="D30" s="147"/>
      <c r="E30" s="147">
        <f>C30-F30</f>
        <v>26167545</v>
      </c>
      <c r="F30" s="147">
        <v>947310</v>
      </c>
      <c r="G30" s="147"/>
      <c r="H30" s="147"/>
      <c r="I30" s="147"/>
      <c r="J30" s="147"/>
      <c r="K30" s="147"/>
      <c r="L30" s="147"/>
      <c r="M30" s="147"/>
      <c r="N30" s="147"/>
      <c r="O30" s="147"/>
      <c r="P30" s="147"/>
      <c r="Q30" s="147"/>
      <c r="R30" s="551">
        <f t="shared" si="7"/>
        <v>27114855</v>
      </c>
      <c r="S30" s="147">
        <f>+R30-1500000</f>
        <v>25614855</v>
      </c>
      <c r="T30" s="147"/>
      <c r="U30" s="143"/>
    </row>
    <row r="31" spans="1:21" s="144" customFormat="1">
      <c r="A31" s="145" t="s">
        <v>610</v>
      </c>
      <c r="B31" s="146">
        <f t="shared" si="6"/>
        <v>2238411</v>
      </c>
      <c r="C31" s="147">
        <v>2238411</v>
      </c>
      <c r="D31" s="147"/>
      <c r="E31" s="147"/>
      <c r="F31" s="147">
        <f>C31-E31</f>
        <v>2238411</v>
      </c>
      <c r="G31" s="147"/>
      <c r="H31" s="147"/>
      <c r="I31" s="147"/>
      <c r="J31" s="147"/>
      <c r="K31" s="147"/>
      <c r="L31" s="147"/>
      <c r="M31" s="147"/>
      <c r="N31" s="147"/>
      <c r="O31" s="147"/>
      <c r="P31" s="147"/>
      <c r="Q31" s="147"/>
      <c r="R31" s="551">
        <f t="shared" si="7"/>
        <v>2238411</v>
      </c>
      <c r="S31" s="147">
        <f t="shared" ref="S31:S37" si="8">C31</f>
        <v>2238411</v>
      </c>
      <c r="T31" s="147"/>
      <c r="U31" s="143"/>
    </row>
    <row r="32" spans="1:21" s="144" customFormat="1">
      <c r="A32" s="145" t="s">
        <v>138</v>
      </c>
      <c r="B32" s="146">
        <f t="shared" si="6"/>
        <v>500000</v>
      </c>
      <c r="C32" s="147">
        <v>500000</v>
      </c>
      <c r="D32" s="147"/>
      <c r="E32" s="147"/>
      <c r="F32" s="147">
        <f>C32-E32</f>
        <v>500000</v>
      </c>
      <c r="G32" s="147"/>
      <c r="H32" s="147"/>
      <c r="I32" s="147"/>
      <c r="J32" s="147"/>
      <c r="K32" s="147"/>
      <c r="L32" s="147"/>
      <c r="M32" s="147"/>
      <c r="N32" s="147"/>
      <c r="O32" s="147"/>
      <c r="P32" s="147"/>
      <c r="Q32" s="147"/>
      <c r="R32" s="551">
        <f t="shared" si="7"/>
        <v>500000</v>
      </c>
      <c r="S32" s="147">
        <f t="shared" si="8"/>
        <v>500000</v>
      </c>
      <c r="T32" s="147"/>
      <c r="U32" s="143"/>
    </row>
    <row r="33" spans="1:21" s="144" customFormat="1">
      <c r="A33" s="145" t="s">
        <v>139</v>
      </c>
      <c r="B33" s="146">
        <f t="shared" si="6"/>
        <v>1865343</v>
      </c>
      <c r="C33" s="147">
        <v>1865343</v>
      </c>
      <c r="D33" s="147"/>
      <c r="E33" s="147"/>
      <c r="F33" s="147">
        <f>C33-E33</f>
        <v>1865343</v>
      </c>
      <c r="G33" s="147"/>
      <c r="H33" s="147"/>
      <c r="I33" s="147"/>
      <c r="J33" s="147"/>
      <c r="K33" s="147"/>
      <c r="L33" s="147"/>
      <c r="M33" s="147"/>
      <c r="N33" s="147"/>
      <c r="O33" s="147"/>
      <c r="P33" s="147"/>
      <c r="Q33" s="147"/>
      <c r="R33" s="551">
        <f t="shared" si="7"/>
        <v>1865343</v>
      </c>
      <c r="S33" s="147">
        <f t="shared" si="8"/>
        <v>1865343</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f t="shared" si="8"/>
        <v>0</v>
      </c>
      <c r="T34" s="147"/>
      <c r="U34" s="143"/>
    </row>
    <row r="35" spans="1:21" s="144" customFormat="1">
      <c r="A35" s="145" t="s">
        <v>141</v>
      </c>
      <c r="B35" s="146">
        <f t="shared" si="6"/>
        <v>350000</v>
      </c>
      <c r="C35" s="147">
        <v>350000</v>
      </c>
      <c r="D35" s="147"/>
      <c r="E35" s="147"/>
      <c r="F35" s="147">
        <f>C35</f>
        <v>350000</v>
      </c>
      <c r="G35" s="147"/>
      <c r="H35" s="147"/>
      <c r="I35" s="147"/>
      <c r="J35" s="147"/>
      <c r="K35" s="147"/>
      <c r="L35" s="147"/>
      <c r="M35" s="147"/>
      <c r="N35" s="147"/>
      <c r="O35" s="147"/>
      <c r="P35" s="147"/>
      <c r="Q35" s="147"/>
      <c r="R35" s="551">
        <f t="shared" si="7"/>
        <v>350000</v>
      </c>
      <c r="S35" s="147">
        <f t="shared" si="8"/>
        <v>350000</v>
      </c>
      <c r="T35" s="147"/>
      <c r="U35" s="143"/>
    </row>
    <row r="36" spans="1:21" s="144" customFormat="1">
      <c r="A36" s="304" t="s">
        <v>1822</v>
      </c>
      <c r="B36" s="146">
        <f t="shared" si="6"/>
        <v>0</v>
      </c>
      <c r="C36" s="147"/>
      <c r="D36" s="147"/>
      <c r="E36" s="147"/>
      <c r="F36" s="147"/>
      <c r="G36" s="147"/>
      <c r="H36" s="147"/>
      <c r="I36" s="147"/>
      <c r="J36" s="147"/>
      <c r="K36" s="147"/>
      <c r="L36" s="147"/>
      <c r="M36" s="147"/>
      <c r="N36" s="147"/>
      <c r="O36" s="147"/>
      <c r="P36" s="147"/>
      <c r="Q36" s="147"/>
      <c r="R36" s="551">
        <f t="shared" si="7"/>
        <v>0</v>
      </c>
      <c r="S36" s="147">
        <f t="shared" si="8"/>
        <v>0</v>
      </c>
      <c r="T36" s="147"/>
      <c r="U36" s="143"/>
    </row>
    <row r="37" spans="1:21" s="144" customFormat="1">
      <c r="A37" s="1199" t="s">
        <v>2744</v>
      </c>
      <c r="B37" s="146">
        <f t="shared" si="6"/>
        <v>450000</v>
      </c>
      <c r="C37" s="147">
        <v>450000</v>
      </c>
      <c r="D37" s="147"/>
      <c r="E37" s="147"/>
      <c r="F37" s="147">
        <f>C37</f>
        <v>450000</v>
      </c>
      <c r="G37" s="147"/>
      <c r="H37" s="147"/>
      <c r="I37" s="147"/>
      <c r="J37" s="147"/>
      <c r="K37" s="147"/>
      <c r="L37" s="147"/>
      <c r="M37" s="147"/>
      <c r="N37" s="147"/>
      <c r="O37" s="147"/>
      <c r="P37" s="147"/>
      <c r="Q37" s="147"/>
      <c r="R37" s="551">
        <f t="shared" si="7"/>
        <v>450000</v>
      </c>
      <c r="S37" s="147">
        <f t="shared" si="8"/>
        <v>450000</v>
      </c>
      <c r="T37" s="147"/>
      <c r="U37" s="143"/>
    </row>
    <row r="38" spans="1:21" s="144" customFormat="1">
      <c r="A38" s="149" t="s">
        <v>144</v>
      </c>
      <c r="B38" s="146">
        <f t="shared" si="6"/>
        <v>42710609</v>
      </c>
      <c r="C38" s="146">
        <f>SUM(C29:C37)</f>
        <v>42710609</v>
      </c>
      <c r="D38" s="146">
        <f t="shared" ref="D38:Q38" si="9">SUM(D29:D37)</f>
        <v>0</v>
      </c>
      <c r="E38" s="146">
        <f t="shared" si="9"/>
        <v>36359545</v>
      </c>
      <c r="F38" s="146">
        <f t="shared" si="9"/>
        <v>6351064</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42710609</v>
      </c>
      <c r="S38" s="150">
        <f>SUM(S29:S37)</f>
        <v>41210609</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500000</v>
      </c>
      <c r="C40" s="147">
        <v>500000</v>
      </c>
      <c r="D40" s="147"/>
      <c r="E40" s="147"/>
      <c r="F40" s="147">
        <f>C40</f>
        <v>500000</v>
      </c>
      <c r="G40" s="147"/>
      <c r="H40" s="147"/>
      <c r="I40" s="147"/>
      <c r="J40" s="147"/>
      <c r="K40" s="147"/>
      <c r="L40" s="147"/>
      <c r="M40" s="147"/>
      <c r="N40" s="147"/>
      <c r="O40" s="147"/>
      <c r="P40" s="147"/>
      <c r="Q40" s="147"/>
      <c r="R40" s="551">
        <f>SUM(E40:Q40)</f>
        <v>500000</v>
      </c>
      <c r="S40" s="147">
        <f t="shared" ref="S40" si="10">C40</f>
        <v>500000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500000</v>
      </c>
      <c r="C42" s="146">
        <f>SUM(C39:C41)</f>
        <v>500000</v>
      </c>
      <c r="D42" s="146">
        <f>SUM(D39:D41)</f>
        <v>0</v>
      </c>
      <c r="E42" s="146">
        <f t="shared" ref="E42:T42" si="11">SUM(E40:E41)</f>
        <v>0</v>
      </c>
      <c r="F42" s="146">
        <f t="shared" si="11"/>
        <v>500000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500000</v>
      </c>
      <c r="S42" s="150">
        <f t="shared" si="11"/>
        <v>500000</v>
      </c>
      <c r="T42" s="150">
        <f t="shared" si="11"/>
        <v>0</v>
      </c>
      <c r="U42" s="143"/>
    </row>
    <row r="43" spans="1:21" s="144" customFormat="1">
      <c r="A43" s="149" t="s">
        <v>149</v>
      </c>
      <c r="B43" s="146">
        <f>SUM(C43:D43)</f>
        <v>1000000</v>
      </c>
      <c r="C43" s="147">
        <v>1000000</v>
      </c>
      <c r="D43" s="147"/>
      <c r="E43" s="147"/>
      <c r="F43" s="147">
        <f>C43</f>
        <v>1000000</v>
      </c>
      <c r="G43" s="147"/>
      <c r="H43" s="147"/>
      <c r="I43" s="147"/>
      <c r="J43" s="147"/>
      <c r="K43" s="147"/>
      <c r="L43" s="147"/>
      <c r="M43" s="147"/>
      <c r="N43" s="147"/>
      <c r="O43" s="147"/>
      <c r="P43" s="147"/>
      <c r="Q43" s="147"/>
      <c r="R43" s="551">
        <f>SUM(E43:Q43)</f>
        <v>1000000</v>
      </c>
      <c r="S43" s="147">
        <f t="shared" ref="S43" si="12">C43</f>
        <v>1000000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3">SUM(C45+D45)</f>
        <v>3500000</v>
      </c>
      <c r="C45" s="147">
        <v>3500000</v>
      </c>
      <c r="D45" s="147"/>
      <c r="E45" s="147"/>
      <c r="F45" s="147">
        <f>C45</f>
        <v>3500000</v>
      </c>
      <c r="G45" s="147"/>
      <c r="H45" s="147"/>
      <c r="I45" s="147"/>
      <c r="J45" s="147"/>
      <c r="K45" s="147"/>
      <c r="L45" s="147"/>
      <c r="M45" s="147"/>
      <c r="N45" s="147"/>
      <c r="O45" s="147"/>
      <c r="P45" s="147"/>
      <c r="Q45" s="147"/>
      <c r="R45" s="551">
        <f t="shared" ref="R45:R53" si="14">SUM(E45:Q45)</f>
        <v>3500000</v>
      </c>
      <c r="S45" s="147">
        <v>2791251</v>
      </c>
      <c r="T45" s="147"/>
      <c r="U45" s="143"/>
    </row>
    <row r="46" spans="1:21" s="144" customFormat="1">
      <c r="A46" s="145" t="s">
        <v>152</v>
      </c>
      <c r="B46" s="146">
        <f t="shared" si="13"/>
        <v>505444</v>
      </c>
      <c r="C46" s="147">
        <v>505444</v>
      </c>
      <c r="D46" s="147"/>
      <c r="E46" s="147"/>
      <c r="F46" s="147">
        <f>C46</f>
        <v>505444</v>
      </c>
      <c r="G46" s="147"/>
      <c r="H46" s="147"/>
      <c r="I46" s="147"/>
      <c r="J46" s="147"/>
      <c r="K46" s="147"/>
      <c r="L46" s="147"/>
      <c r="M46" s="147"/>
      <c r="N46" s="147"/>
      <c r="O46" s="147"/>
      <c r="P46" s="147"/>
      <c r="Q46" s="147"/>
      <c r="R46" s="551">
        <f t="shared" si="14"/>
        <v>505444</v>
      </c>
      <c r="S46" s="147">
        <f t="shared" ref="S46:S50" si="15">C46</f>
        <v>505444</v>
      </c>
      <c r="T46" s="147"/>
      <c r="U46" s="143"/>
    </row>
    <row r="47" spans="1:21" s="144" customFormat="1">
      <c r="A47" s="198" t="s">
        <v>153</v>
      </c>
      <c r="B47" s="146">
        <f t="shared" si="13"/>
        <v>0</v>
      </c>
      <c r="C47" s="147"/>
      <c r="D47" s="147"/>
      <c r="E47" s="147"/>
      <c r="F47" s="147"/>
      <c r="G47" s="147"/>
      <c r="H47" s="147"/>
      <c r="I47" s="147"/>
      <c r="J47" s="147"/>
      <c r="K47" s="147"/>
      <c r="L47" s="147"/>
      <c r="M47" s="147"/>
      <c r="N47" s="147"/>
      <c r="O47" s="147"/>
      <c r="P47" s="147"/>
      <c r="Q47" s="147"/>
      <c r="R47" s="551">
        <f t="shared" si="14"/>
        <v>0</v>
      </c>
      <c r="S47" s="147">
        <f t="shared" si="15"/>
        <v>0</v>
      </c>
      <c r="T47" s="147"/>
      <c r="U47" s="143"/>
    </row>
    <row r="48" spans="1:21" s="144" customFormat="1">
      <c r="A48" s="145" t="s">
        <v>154</v>
      </c>
      <c r="B48" s="146">
        <f t="shared" si="13"/>
        <v>0</v>
      </c>
      <c r="C48" s="147"/>
      <c r="D48" s="147"/>
      <c r="E48" s="147"/>
      <c r="F48" s="147"/>
      <c r="G48" s="147"/>
      <c r="H48" s="147"/>
      <c r="I48" s="147"/>
      <c r="J48" s="147"/>
      <c r="K48" s="147"/>
      <c r="L48" s="147"/>
      <c r="M48" s="147"/>
      <c r="N48" s="147"/>
      <c r="O48" s="147"/>
      <c r="P48" s="147"/>
      <c r="Q48" s="147"/>
      <c r="R48" s="551">
        <f t="shared" si="14"/>
        <v>0</v>
      </c>
      <c r="S48" s="147">
        <f t="shared" si="15"/>
        <v>0</v>
      </c>
      <c r="T48" s="147"/>
      <c r="U48" s="143"/>
    </row>
    <row r="49" spans="1:21" s="144" customFormat="1">
      <c r="A49" s="145" t="s">
        <v>57</v>
      </c>
      <c r="B49" s="146">
        <f t="shared" si="13"/>
        <v>0</v>
      </c>
      <c r="C49" s="147"/>
      <c r="D49" s="147"/>
      <c r="E49" s="147"/>
      <c r="F49" s="147"/>
      <c r="G49" s="147"/>
      <c r="H49" s="147"/>
      <c r="I49" s="147"/>
      <c r="J49" s="147"/>
      <c r="K49" s="147"/>
      <c r="L49" s="147"/>
      <c r="M49" s="147"/>
      <c r="N49" s="147"/>
      <c r="O49" s="147"/>
      <c r="P49" s="147"/>
      <c r="Q49" s="147"/>
      <c r="R49" s="551">
        <f t="shared" si="14"/>
        <v>0</v>
      </c>
      <c r="S49" s="147">
        <f t="shared" si="15"/>
        <v>0</v>
      </c>
      <c r="T49" s="147"/>
      <c r="U49" s="143"/>
    </row>
    <row r="50" spans="1:21" s="144" customFormat="1">
      <c r="A50" s="145" t="s">
        <v>157</v>
      </c>
      <c r="B50" s="146">
        <f t="shared" si="13"/>
        <v>100000</v>
      </c>
      <c r="C50" s="147">
        <v>100000</v>
      </c>
      <c r="D50" s="147"/>
      <c r="E50" s="147"/>
      <c r="F50" s="147">
        <f t="shared" ref="F50:F53" si="16">C50</f>
        <v>100000</v>
      </c>
      <c r="G50" s="147"/>
      <c r="H50" s="147"/>
      <c r="I50" s="147"/>
      <c r="J50" s="147"/>
      <c r="K50" s="147"/>
      <c r="L50" s="147"/>
      <c r="M50" s="147"/>
      <c r="N50" s="147"/>
      <c r="O50" s="147"/>
      <c r="P50" s="147"/>
      <c r="Q50" s="147"/>
      <c r="R50" s="551">
        <f t="shared" si="14"/>
        <v>100000</v>
      </c>
      <c r="S50" s="147">
        <f t="shared" si="15"/>
        <v>100000</v>
      </c>
      <c r="T50" s="147"/>
      <c r="U50" s="143"/>
    </row>
    <row r="51" spans="1:21" s="144" customFormat="1">
      <c r="A51" s="304" t="s">
        <v>155</v>
      </c>
      <c r="B51" s="146">
        <f t="shared" si="13"/>
        <v>100000</v>
      </c>
      <c r="C51" s="147">
        <v>100000</v>
      </c>
      <c r="D51" s="147"/>
      <c r="E51" s="147"/>
      <c r="F51" s="147">
        <f t="shared" si="16"/>
        <v>100000</v>
      </c>
      <c r="G51" s="147"/>
      <c r="H51" s="147"/>
      <c r="I51" s="147"/>
      <c r="J51" s="147"/>
      <c r="K51" s="147"/>
      <c r="L51" s="147"/>
      <c r="M51" s="147"/>
      <c r="N51" s="147"/>
      <c r="O51" s="147"/>
      <c r="P51" s="147"/>
      <c r="Q51" s="147"/>
      <c r="R51" s="551">
        <f t="shared" si="14"/>
        <v>100000</v>
      </c>
      <c r="S51" s="147">
        <v>50000</v>
      </c>
      <c r="T51" s="147"/>
      <c r="U51" s="143"/>
    </row>
    <row r="52" spans="1:21" s="144" customFormat="1">
      <c r="A52" s="145" t="s">
        <v>156</v>
      </c>
      <c r="B52" s="146">
        <f t="shared" si="13"/>
        <v>85000</v>
      </c>
      <c r="C52" s="147">
        <v>85000</v>
      </c>
      <c r="D52" s="147"/>
      <c r="E52" s="147"/>
      <c r="F52" s="147">
        <f t="shared" si="16"/>
        <v>85000</v>
      </c>
      <c r="G52" s="147"/>
      <c r="H52" s="147"/>
      <c r="I52" s="147"/>
      <c r="J52" s="147"/>
      <c r="K52" s="147"/>
      <c r="L52" s="147"/>
      <c r="M52" s="147"/>
      <c r="N52" s="147"/>
      <c r="O52" s="147"/>
      <c r="P52" s="147"/>
      <c r="Q52" s="147"/>
      <c r="R52" s="551">
        <f t="shared" si="14"/>
        <v>85000</v>
      </c>
      <c r="S52" s="147">
        <f t="shared" ref="S52:S53" si="17">C52</f>
        <v>85000</v>
      </c>
      <c r="T52" s="147"/>
      <c r="U52" s="143"/>
    </row>
    <row r="53" spans="1:21" s="144" customFormat="1">
      <c r="A53" s="1199" t="s">
        <v>2745</v>
      </c>
      <c r="B53" s="146">
        <f t="shared" si="13"/>
        <v>91000</v>
      </c>
      <c r="C53" s="147">
        <v>91000</v>
      </c>
      <c r="D53" s="147"/>
      <c r="E53" s="147"/>
      <c r="F53" s="147">
        <f t="shared" si="16"/>
        <v>91000</v>
      </c>
      <c r="G53" s="147"/>
      <c r="H53" s="147"/>
      <c r="I53" s="147"/>
      <c r="J53" s="147"/>
      <c r="K53" s="147"/>
      <c r="L53" s="147"/>
      <c r="M53" s="147"/>
      <c r="N53" s="147"/>
      <c r="O53" s="147"/>
      <c r="P53" s="147"/>
      <c r="Q53" s="147"/>
      <c r="R53" s="551">
        <f t="shared" si="14"/>
        <v>91000</v>
      </c>
      <c r="S53" s="147">
        <f t="shared" si="17"/>
        <v>91000</v>
      </c>
      <c r="T53" s="147"/>
      <c r="U53" s="143"/>
    </row>
    <row r="54" spans="1:21" s="153" customFormat="1">
      <c r="A54" s="149" t="s">
        <v>158</v>
      </c>
      <c r="B54" s="150">
        <f>SUM(C54:D54)</f>
        <v>4381444</v>
      </c>
      <c r="C54" s="150">
        <f t="shared" ref="C54:T54" si="18">SUM(C45:C53)</f>
        <v>4381444</v>
      </c>
      <c r="D54" s="150">
        <f t="shared" si="18"/>
        <v>0</v>
      </c>
      <c r="E54" s="150">
        <f t="shared" si="18"/>
        <v>0</v>
      </c>
      <c r="F54" s="150">
        <f t="shared" si="18"/>
        <v>4381444</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1">
        <f t="shared" si="18"/>
        <v>4381444</v>
      </c>
      <c r="S54" s="150">
        <f t="shared" si="18"/>
        <v>3622695</v>
      </c>
      <c r="T54" s="150">
        <f t="shared" si="18"/>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9">SUM(C56+D56)</f>
        <v>404250</v>
      </c>
      <c r="C56" s="147">
        <v>404250</v>
      </c>
      <c r="D56" s="147"/>
      <c r="E56" s="147"/>
      <c r="F56" s="147">
        <f>C56</f>
        <v>404250</v>
      </c>
      <c r="G56" s="147"/>
      <c r="H56" s="147"/>
      <c r="I56" s="147"/>
      <c r="J56" s="147"/>
      <c r="K56" s="147"/>
      <c r="L56" s="147"/>
      <c r="M56" s="147"/>
      <c r="N56" s="147"/>
      <c r="O56" s="147"/>
      <c r="P56" s="147"/>
      <c r="Q56" s="147"/>
      <c r="R56" s="551">
        <f t="shared" ref="R56:R61" si="20">SUM(E56:Q56)</f>
        <v>404250</v>
      </c>
      <c r="S56" s="148"/>
      <c r="T56" s="148"/>
      <c r="U56" s="143"/>
    </row>
    <row r="57" spans="1:21" s="204" customFormat="1">
      <c r="A57" s="198" t="s">
        <v>153</v>
      </c>
      <c r="B57" s="205">
        <f t="shared" si="19"/>
        <v>0</v>
      </c>
      <c r="C57" s="202"/>
      <c r="D57" s="202"/>
      <c r="E57" s="202"/>
      <c r="F57" s="202"/>
      <c r="G57" s="202"/>
      <c r="H57" s="202"/>
      <c r="I57" s="202"/>
      <c r="J57" s="202"/>
      <c r="K57" s="202"/>
      <c r="L57" s="202"/>
      <c r="M57" s="202"/>
      <c r="N57" s="202"/>
      <c r="O57" s="202"/>
      <c r="P57" s="202"/>
      <c r="Q57" s="202"/>
      <c r="R57" s="551">
        <f t="shared" si="20"/>
        <v>0</v>
      </c>
      <c r="S57" s="206"/>
      <c r="T57" s="206"/>
      <c r="U57" s="203"/>
    </row>
    <row r="58" spans="1:21" s="144" customFormat="1">
      <c r="A58" s="145" t="s">
        <v>157</v>
      </c>
      <c r="B58" s="146">
        <f t="shared" si="19"/>
        <v>0</v>
      </c>
      <c r="C58" s="147"/>
      <c r="D58" s="147"/>
      <c r="E58" s="147"/>
      <c r="F58" s="147"/>
      <c r="G58" s="147"/>
      <c r="H58" s="147"/>
      <c r="I58" s="147"/>
      <c r="J58" s="147"/>
      <c r="K58" s="147"/>
      <c r="L58" s="147"/>
      <c r="M58" s="147"/>
      <c r="N58" s="147"/>
      <c r="O58" s="147"/>
      <c r="P58" s="147"/>
      <c r="Q58" s="147"/>
      <c r="R58" s="551">
        <f t="shared" si="20"/>
        <v>0</v>
      </c>
      <c r="S58" s="148"/>
      <c r="T58" s="148"/>
      <c r="U58" s="143"/>
    </row>
    <row r="59" spans="1:21" s="144" customFormat="1">
      <c r="A59" s="304" t="s">
        <v>155</v>
      </c>
      <c r="B59" s="146">
        <f t="shared" si="19"/>
        <v>0</v>
      </c>
      <c r="C59" s="147"/>
      <c r="D59" s="147"/>
      <c r="E59" s="147"/>
      <c r="F59" s="147"/>
      <c r="G59" s="147"/>
      <c r="H59" s="147"/>
      <c r="I59" s="147"/>
      <c r="J59" s="147"/>
      <c r="K59" s="147"/>
      <c r="L59" s="147"/>
      <c r="M59" s="147"/>
      <c r="N59" s="147"/>
      <c r="O59" s="147"/>
      <c r="P59" s="147"/>
      <c r="Q59" s="147"/>
      <c r="R59" s="551">
        <f t="shared" si="20"/>
        <v>0</v>
      </c>
      <c r="S59" s="148"/>
      <c r="T59" s="148"/>
      <c r="U59" s="143"/>
    </row>
    <row r="60" spans="1:21" s="144" customFormat="1">
      <c r="A60" s="145" t="s">
        <v>156</v>
      </c>
      <c r="B60" s="146">
        <f t="shared" si="19"/>
        <v>0</v>
      </c>
      <c r="C60" s="147"/>
      <c r="D60" s="147"/>
      <c r="E60" s="147"/>
      <c r="F60" s="147"/>
      <c r="G60" s="147"/>
      <c r="H60" s="147"/>
      <c r="I60" s="147"/>
      <c r="J60" s="147"/>
      <c r="K60" s="147"/>
      <c r="L60" s="147"/>
      <c r="M60" s="147"/>
      <c r="N60" s="147"/>
      <c r="O60" s="147"/>
      <c r="P60" s="147"/>
      <c r="Q60" s="147"/>
      <c r="R60" s="551">
        <f t="shared" si="20"/>
        <v>0</v>
      </c>
      <c r="S60" s="148"/>
      <c r="T60" s="148"/>
      <c r="U60" s="143"/>
    </row>
    <row r="61" spans="1:21" s="144" customFormat="1">
      <c r="A61" s="1199" t="s">
        <v>2746</v>
      </c>
      <c r="B61" s="146">
        <f t="shared" si="19"/>
        <v>130250</v>
      </c>
      <c r="C61" s="147">
        <v>130250</v>
      </c>
      <c r="D61" s="147"/>
      <c r="E61" s="147"/>
      <c r="F61" s="147">
        <f>C61</f>
        <v>130250</v>
      </c>
      <c r="G61" s="147"/>
      <c r="H61" s="147"/>
      <c r="I61" s="147"/>
      <c r="J61" s="147"/>
      <c r="K61" s="147"/>
      <c r="L61" s="147"/>
      <c r="M61" s="147"/>
      <c r="N61" s="147"/>
      <c r="O61" s="147"/>
      <c r="P61" s="147"/>
      <c r="Q61" s="147"/>
      <c r="R61" s="551">
        <f t="shared" si="20"/>
        <v>130250</v>
      </c>
      <c r="S61" s="148"/>
      <c r="T61" s="148"/>
      <c r="U61" s="143"/>
    </row>
    <row r="62" spans="1:21" s="144" customFormat="1" ht="13.7" customHeight="1">
      <c r="A62" s="149" t="s">
        <v>303</v>
      </c>
      <c r="B62" s="146">
        <f>SUM(C62:D62)</f>
        <v>534500</v>
      </c>
      <c r="C62" s="146">
        <f t="shared" ref="C62:R62" si="21">SUM(C56:C61)</f>
        <v>534500</v>
      </c>
      <c r="D62" s="146">
        <f t="shared" si="21"/>
        <v>0</v>
      </c>
      <c r="E62" s="146">
        <f t="shared" si="21"/>
        <v>0</v>
      </c>
      <c r="F62" s="146">
        <f t="shared" si="21"/>
        <v>534500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1">
        <f t="shared" si="21"/>
        <v>534500</v>
      </c>
      <c r="S62" s="148"/>
      <c r="T62" s="148"/>
      <c r="U62" s="143"/>
    </row>
    <row r="63" spans="1:21" s="144" customFormat="1">
      <c r="A63" s="154" t="s">
        <v>304</v>
      </c>
      <c r="B63" s="146">
        <f t="shared" ref="B63:R63" si="22">SUM(B8+B11+B13+B14+B15+B26+B27+B38+B42+B43+B54+B62)</f>
        <v>51703873</v>
      </c>
      <c r="C63" s="146">
        <f t="shared" si="22"/>
        <v>51703873</v>
      </c>
      <c r="D63" s="146">
        <f t="shared" si="22"/>
        <v>0</v>
      </c>
      <c r="E63" s="146">
        <f t="shared" si="22"/>
        <v>36359545</v>
      </c>
      <c r="F63" s="146">
        <f t="shared" si="22"/>
        <v>15344328</v>
      </c>
      <c r="G63" s="146">
        <f t="shared" si="22"/>
        <v>0</v>
      </c>
      <c r="H63" s="146">
        <f t="shared" si="22"/>
        <v>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71">
        <f t="shared" si="22"/>
        <v>51703873</v>
      </c>
      <c r="S63" s="146">
        <f>SUM(S10+S13+S14+S15+S26+S27+S38+S42+S43+S54)</f>
        <v>46333304</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140000</v>
      </c>
      <c r="C65" s="147">
        <f>50000+45000+45000</f>
        <v>140000</v>
      </c>
      <c r="D65" s="147"/>
      <c r="E65" s="147"/>
      <c r="F65" s="147">
        <f t="shared" ref="F65" si="23">C65</f>
        <v>140000</v>
      </c>
      <c r="G65" s="147"/>
      <c r="H65" s="147"/>
      <c r="I65" s="147"/>
      <c r="J65" s="147"/>
      <c r="K65" s="147"/>
      <c r="L65" s="147"/>
      <c r="M65" s="147"/>
      <c r="N65" s="147"/>
      <c r="O65" s="147"/>
      <c r="P65" s="147"/>
      <c r="Q65" s="147"/>
      <c r="R65" s="551">
        <f>SUM(E65:Q65)</f>
        <v>140000</v>
      </c>
      <c r="S65" s="147">
        <f t="shared" ref="S65:S68" si="24">C65</f>
        <v>140000</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f t="shared" si="24"/>
        <v>0</v>
      </c>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f t="shared" si="24"/>
        <v>0</v>
      </c>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f t="shared" si="24"/>
        <v>0</v>
      </c>
      <c r="T68" s="147"/>
      <c r="U68" s="143"/>
    </row>
    <row r="69" spans="1:21" s="144" customFormat="1">
      <c r="A69" s="1199" t="s">
        <v>2747</v>
      </c>
      <c r="B69" s="146">
        <f>SUM(C69+D69)</f>
        <v>329178</v>
      </c>
      <c r="C69" s="147">
        <f>300000+25000+4178</f>
        <v>329178</v>
      </c>
      <c r="D69" s="147"/>
      <c r="E69" s="147"/>
      <c r="F69" s="147">
        <f>C69</f>
        <v>329178</v>
      </c>
      <c r="G69" s="147"/>
      <c r="H69" s="147"/>
      <c r="I69" s="147"/>
      <c r="J69" s="147"/>
      <c r="K69" s="147"/>
      <c r="L69" s="147"/>
      <c r="M69" s="147"/>
      <c r="N69" s="147"/>
      <c r="O69" s="147"/>
      <c r="P69" s="147"/>
      <c r="Q69" s="147"/>
      <c r="R69" s="551">
        <f>SUM(E69:Q69)</f>
        <v>329178</v>
      </c>
      <c r="S69" s="147">
        <f>150000+4178</f>
        <v>154178</v>
      </c>
      <c r="T69" s="147"/>
      <c r="U69" s="143"/>
    </row>
    <row r="70" spans="1:21" s="144" customFormat="1">
      <c r="A70" s="149" t="s">
        <v>1827</v>
      </c>
      <c r="B70" s="146">
        <f>SUM(C70:D70)</f>
        <v>469178</v>
      </c>
      <c r="C70" s="146">
        <f>SUM(C65:C69)</f>
        <v>469178</v>
      </c>
      <c r="D70" s="146">
        <f>SUM(D65:D69)</f>
        <v>0</v>
      </c>
      <c r="E70" s="146">
        <f t="shared" ref="E70:T70" si="25">SUM(E65:E69)</f>
        <v>0</v>
      </c>
      <c r="F70" s="146">
        <f t="shared" si="25"/>
        <v>469178</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1">
        <f t="shared" si="25"/>
        <v>469178</v>
      </c>
      <c r="S70" s="150">
        <f t="shared" si="25"/>
        <v>294178</v>
      </c>
      <c r="T70" s="150">
        <f t="shared" si="25"/>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75000</v>
      </c>
      <c r="C72" s="147">
        <v>75000</v>
      </c>
      <c r="D72" s="147"/>
      <c r="E72" s="147"/>
      <c r="F72" s="147">
        <f>C72</f>
        <v>75000</v>
      </c>
      <c r="G72" s="147"/>
      <c r="H72" s="147"/>
      <c r="I72" s="147"/>
      <c r="J72" s="147"/>
      <c r="K72" s="147"/>
      <c r="L72" s="147"/>
      <c r="M72" s="147"/>
      <c r="N72" s="147"/>
      <c r="O72" s="147"/>
      <c r="P72" s="147"/>
      <c r="Q72" s="147"/>
      <c r="R72" s="551">
        <f>SUM(E72:Q72)</f>
        <v>75000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751974</v>
      </c>
      <c r="C75" s="147">
        <f>[5]Application!AC870</f>
        <v>751974</v>
      </c>
      <c r="D75" s="147"/>
      <c r="E75" s="147"/>
      <c r="F75" s="147">
        <f>C75</f>
        <v>751974</v>
      </c>
      <c r="G75" s="147"/>
      <c r="H75" s="147"/>
      <c r="I75" s="147"/>
      <c r="J75" s="147"/>
      <c r="K75" s="147"/>
      <c r="L75" s="147"/>
      <c r="M75" s="147"/>
      <c r="N75" s="147"/>
      <c r="O75" s="147"/>
      <c r="P75" s="147"/>
      <c r="Q75" s="147"/>
      <c r="R75" s="551">
        <f>SUM(E75:Q75)</f>
        <v>751974</v>
      </c>
      <c r="S75" s="148"/>
      <c r="T75" s="148"/>
      <c r="U75" s="143"/>
    </row>
    <row r="76" spans="1:21" s="144" customFormat="1">
      <c r="A76" s="1199"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826974</v>
      </c>
      <c r="C77" s="146">
        <f>SUM(C72:C76)</f>
        <v>826974</v>
      </c>
      <c r="D77" s="146">
        <f>SUM(D72:D76)</f>
        <v>0</v>
      </c>
      <c r="E77" s="146">
        <f t="shared" ref="E77:Q77" si="26">SUM(E72:E76)</f>
        <v>0</v>
      </c>
      <c r="F77" s="146">
        <f t="shared" si="26"/>
        <v>826974</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1">
        <f>SUM(R72:R76)</f>
        <v>826974</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4551336</v>
      </c>
      <c r="C79" s="147">
        <v>4551336</v>
      </c>
      <c r="D79" s="147"/>
      <c r="E79" s="147"/>
      <c r="F79" s="147">
        <v>4551336</v>
      </c>
      <c r="G79" s="147"/>
      <c r="H79" s="147"/>
      <c r="I79" s="147"/>
      <c r="J79" s="147"/>
      <c r="K79" s="147"/>
      <c r="L79" s="147"/>
      <c r="M79" s="147"/>
      <c r="N79" s="147"/>
      <c r="O79" s="147"/>
      <c r="P79" s="147"/>
      <c r="Q79" s="147"/>
      <c r="R79" s="551">
        <f>SUM(E79:Q79)</f>
        <v>4551336</v>
      </c>
      <c r="S79" s="147">
        <f>C79</f>
        <v>4551336</v>
      </c>
      <c r="T79" s="147"/>
      <c r="U79" s="143"/>
    </row>
    <row r="80" spans="1:21" s="144" customFormat="1">
      <c r="A80" s="304" t="s">
        <v>58</v>
      </c>
      <c r="B80" s="146">
        <f>SUM(C80:D80)</f>
        <v>1790000</v>
      </c>
      <c r="C80" s="147">
        <v>1790000</v>
      </c>
      <c r="D80" s="147"/>
      <c r="E80" s="147"/>
      <c r="F80" s="147">
        <f t="shared" ref="F80" si="27">C80</f>
        <v>1790000</v>
      </c>
      <c r="G80" s="147"/>
      <c r="H80" s="147"/>
      <c r="I80" s="147"/>
      <c r="J80" s="147"/>
      <c r="K80" s="147"/>
      <c r="L80" s="147"/>
      <c r="M80" s="147"/>
      <c r="N80" s="147"/>
      <c r="O80" s="147"/>
      <c r="P80" s="147"/>
      <c r="Q80" s="147"/>
      <c r="R80" s="551">
        <f>SUM(E80:Q80)</f>
        <v>1790000</v>
      </c>
      <c r="S80" s="147">
        <f>262616+490000</f>
        <v>752616</v>
      </c>
      <c r="T80" s="147"/>
      <c r="U80" s="143"/>
    </row>
    <row r="81" spans="1:21" s="144" customFormat="1">
      <c r="A81" s="149" t="s">
        <v>1353</v>
      </c>
      <c r="B81" s="146">
        <f>SUM(C81:D81)</f>
        <v>6341336</v>
      </c>
      <c r="C81" s="544">
        <f>SUM(C79:C80)</f>
        <v>6341336</v>
      </c>
      <c r="D81" s="544">
        <f t="shared" ref="D81:T81" si="28">SUM(D79:D80)</f>
        <v>0</v>
      </c>
      <c r="E81" s="544">
        <f t="shared" si="28"/>
        <v>0</v>
      </c>
      <c r="F81" s="544">
        <f t="shared" si="28"/>
        <v>6341336</v>
      </c>
      <c r="G81" s="544">
        <f t="shared" si="28"/>
        <v>0</v>
      </c>
      <c r="H81" s="544">
        <f t="shared" si="28"/>
        <v>0</v>
      </c>
      <c r="I81" s="544">
        <f t="shared" si="28"/>
        <v>0</v>
      </c>
      <c r="J81" s="544">
        <f t="shared" si="28"/>
        <v>0</v>
      </c>
      <c r="K81" s="544">
        <f t="shared" si="28"/>
        <v>0</v>
      </c>
      <c r="L81" s="544">
        <f t="shared" si="28"/>
        <v>0</v>
      </c>
      <c r="M81" s="544">
        <f t="shared" si="28"/>
        <v>0</v>
      </c>
      <c r="N81" s="544">
        <f t="shared" si="28"/>
        <v>0</v>
      </c>
      <c r="O81" s="544">
        <f t="shared" si="28"/>
        <v>0</v>
      </c>
      <c r="P81" s="544">
        <f t="shared" si="28"/>
        <v>0</v>
      </c>
      <c r="Q81" s="544">
        <f t="shared" si="28"/>
        <v>0</v>
      </c>
      <c r="R81" s="544">
        <f t="shared" si="28"/>
        <v>6341336</v>
      </c>
      <c r="S81" s="544">
        <f>SUM(S79:S80)</f>
        <v>5303952</v>
      </c>
      <c r="T81" s="544">
        <f t="shared" si="28"/>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2511</v>
      </c>
      <c r="B83" s="146">
        <f t="shared" ref="B83:B95" si="29">SUM(C83+D83)</f>
        <v>114540</v>
      </c>
      <c r="C83" s="147">
        <f>2500+4600+3000+13572+65000+25868</f>
        <v>114540</v>
      </c>
      <c r="D83" s="147"/>
      <c r="E83" s="147"/>
      <c r="F83" s="147">
        <f>C83</f>
        <v>114540</v>
      </c>
      <c r="G83" s="147"/>
      <c r="H83" s="147"/>
      <c r="I83" s="147"/>
      <c r="J83" s="147"/>
      <c r="K83" s="147"/>
      <c r="L83" s="147"/>
      <c r="M83" s="147"/>
      <c r="N83" s="147"/>
      <c r="O83" s="147"/>
      <c r="P83" s="147"/>
      <c r="Q83" s="147"/>
      <c r="R83" s="551">
        <f t="shared" ref="R83:R95" si="30">SUM(E83:Q83)</f>
        <v>114540</v>
      </c>
      <c r="S83" s="148"/>
      <c r="T83" s="148"/>
      <c r="U83" s="143"/>
    </row>
    <row r="84" spans="1:21" s="144" customFormat="1">
      <c r="A84" s="145" t="s">
        <v>792</v>
      </c>
      <c r="B84" s="146">
        <f t="shared" si="29"/>
        <v>0</v>
      </c>
      <c r="C84" s="147"/>
      <c r="D84" s="147"/>
      <c r="E84" s="147"/>
      <c r="F84" s="147"/>
      <c r="G84" s="147"/>
      <c r="H84" s="147"/>
      <c r="I84" s="147"/>
      <c r="J84" s="147"/>
      <c r="K84" s="147"/>
      <c r="L84" s="147"/>
      <c r="M84" s="147"/>
      <c r="N84" s="147"/>
      <c r="O84" s="147"/>
      <c r="P84" s="147"/>
      <c r="Q84" s="147"/>
      <c r="R84" s="551">
        <f t="shared" si="30"/>
        <v>0</v>
      </c>
      <c r="S84" s="147"/>
      <c r="T84" s="147"/>
      <c r="U84" s="143"/>
    </row>
    <row r="85" spans="1:21" s="144" customFormat="1">
      <c r="A85" s="145" t="s">
        <v>793</v>
      </c>
      <c r="B85" s="146">
        <f t="shared" si="29"/>
        <v>4600000</v>
      </c>
      <c r="C85" s="147">
        <v>4600000</v>
      </c>
      <c r="D85" s="147"/>
      <c r="E85" s="147"/>
      <c r="F85" s="147">
        <f>C85-1120488</f>
        <v>3479512</v>
      </c>
      <c r="G85" s="147">
        <f>C85-F85</f>
        <v>1120488</v>
      </c>
      <c r="H85" s="147"/>
      <c r="I85" s="147"/>
      <c r="J85" s="147"/>
      <c r="K85" s="147"/>
      <c r="L85" s="147"/>
      <c r="M85" s="147"/>
      <c r="N85" s="147"/>
      <c r="O85" s="147"/>
      <c r="P85" s="147"/>
      <c r="Q85" s="147"/>
      <c r="R85" s="551">
        <f t="shared" si="30"/>
        <v>4600000</v>
      </c>
      <c r="S85" s="147">
        <f t="shared" ref="S85:S86" si="31">C85</f>
        <v>4600000</v>
      </c>
      <c r="T85" s="147"/>
      <c r="U85" s="143"/>
    </row>
    <row r="86" spans="1:21" s="144" customFormat="1">
      <c r="A86" s="145" t="s">
        <v>794</v>
      </c>
      <c r="B86" s="146">
        <f t="shared" si="29"/>
        <v>300000</v>
      </c>
      <c r="C86" s="147">
        <v>300000</v>
      </c>
      <c r="D86" s="147"/>
      <c r="E86" s="147"/>
      <c r="F86" s="147"/>
      <c r="G86" s="147">
        <f>C86-F86</f>
        <v>300000</v>
      </c>
      <c r="H86" s="147"/>
      <c r="I86" s="147"/>
      <c r="J86" s="147"/>
      <c r="K86" s="147"/>
      <c r="L86" s="147"/>
      <c r="M86" s="147"/>
      <c r="N86" s="147"/>
      <c r="O86" s="147"/>
      <c r="P86" s="147"/>
      <c r="Q86" s="147"/>
      <c r="R86" s="551">
        <f t="shared" si="30"/>
        <v>300000</v>
      </c>
      <c r="S86" s="147">
        <f t="shared" si="31"/>
        <v>300000</v>
      </c>
      <c r="T86" s="147"/>
      <c r="U86" s="143"/>
    </row>
    <row r="87" spans="1:21" s="144" customFormat="1">
      <c r="A87" s="145" t="s">
        <v>795</v>
      </c>
      <c r="B87" s="146">
        <f t="shared" si="29"/>
        <v>0</v>
      </c>
      <c r="C87" s="147"/>
      <c r="D87" s="147"/>
      <c r="E87" s="147"/>
      <c r="F87" s="147"/>
      <c r="G87" s="147"/>
      <c r="H87" s="147"/>
      <c r="I87" s="147"/>
      <c r="J87" s="147"/>
      <c r="K87" s="147"/>
      <c r="L87" s="147"/>
      <c r="M87" s="147"/>
      <c r="N87" s="147"/>
      <c r="O87" s="147"/>
      <c r="P87" s="147"/>
      <c r="Q87" s="147"/>
      <c r="R87" s="551">
        <f t="shared" si="30"/>
        <v>0</v>
      </c>
      <c r="S87" s="147"/>
      <c r="T87" s="147"/>
      <c r="U87" s="143"/>
    </row>
    <row r="88" spans="1:21" s="144" customFormat="1">
      <c r="A88" s="145" t="s">
        <v>796</v>
      </c>
      <c r="B88" s="146">
        <f t="shared" si="29"/>
        <v>289558</v>
      </c>
      <c r="C88" s="147">
        <f>265426+50000-25868</f>
        <v>289558</v>
      </c>
      <c r="D88" s="147"/>
      <c r="E88" s="147"/>
      <c r="F88" s="147">
        <f>C88-G88</f>
        <v>110046</v>
      </c>
      <c r="G88" s="147">
        <f>1600000-1420488</f>
        <v>179512</v>
      </c>
      <c r="H88" s="147"/>
      <c r="I88" s="147"/>
      <c r="J88" s="147"/>
      <c r="K88" s="147"/>
      <c r="L88" s="147"/>
      <c r="M88" s="147"/>
      <c r="N88" s="147"/>
      <c r="O88" s="147"/>
      <c r="P88" s="147"/>
      <c r="Q88" s="147"/>
      <c r="R88" s="551">
        <f t="shared" si="30"/>
        <v>289558</v>
      </c>
      <c r="S88" s="148"/>
      <c r="T88" s="148"/>
      <c r="U88" s="143"/>
    </row>
    <row r="89" spans="1:21" s="144" customFormat="1">
      <c r="A89" s="145" t="s">
        <v>797</v>
      </c>
      <c r="B89" s="146">
        <f t="shared" si="29"/>
        <v>200000</v>
      </c>
      <c r="C89" s="147">
        <v>200000</v>
      </c>
      <c r="D89" s="147"/>
      <c r="E89" s="147"/>
      <c r="F89" s="147">
        <f>C89</f>
        <v>200000</v>
      </c>
      <c r="G89" s="147"/>
      <c r="H89" s="147"/>
      <c r="I89" s="147"/>
      <c r="J89" s="147"/>
      <c r="K89" s="147"/>
      <c r="L89" s="147"/>
      <c r="M89" s="147"/>
      <c r="N89" s="147"/>
      <c r="O89" s="147"/>
      <c r="P89" s="147"/>
      <c r="Q89" s="147"/>
      <c r="R89" s="551">
        <f t="shared" si="30"/>
        <v>200000</v>
      </c>
      <c r="S89" s="147">
        <f t="shared" ref="S89" si="32">C89</f>
        <v>200000</v>
      </c>
      <c r="T89" s="147"/>
      <c r="U89" s="143"/>
    </row>
    <row r="90" spans="1:21" s="144" customFormat="1">
      <c r="A90" s="145" t="s">
        <v>798</v>
      </c>
      <c r="B90" s="146">
        <f t="shared" si="29"/>
        <v>0</v>
      </c>
      <c r="C90" s="147"/>
      <c r="D90" s="147"/>
      <c r="E90" s="147"/>
      <c r="F90" s="147"/>
      <c r="G90" s="147"/>
      <c r="H90" s="147"/>
      <c r="I90" s="147"/>
      <c r="J90" s="147"/>
      <c r="K90" s="147"/>
      <c r="L90" s="147"/>
      <c r="M90" s="147"/>
      <c r="N90" s="147"/>
      <c r="O90" s="147"/>
      <c r="P90" s="147"/>
      <c r="Q90" s="147"/>
      <c r="R90" s="551">
        <f t="shared" si="30"/>
        <v>0</v>
      </c>
      <c r="S90" s="147"/>
      <c r="T90" s="147"/>
      <c r="U90" s="143"/>
    </row>
    <row r="91" spans="1:21" s="144" customFormat="1">
      <c r="A91" s="145" t="s">
        <v>374</v>
      </c>
      <c r="B91" s="146">
        <f t="shared" si="29"/>
        <v>58236</v>
      </c>
      <c r="C91" s="147">
        <v>58236</v>
      </c>
      <c r="D91" s="147"/>
      <c r="E91" s="147"/>
      <c r="F91" s="147">
        <f>C91</f>
        <v>58236</v>
      </c>
      <c r="G91" s="147"/>
      <c r="H91" s="147"/>
      <c r="I91" s="147"/>
      <c r="J91" s="147"/>
      <c r="K91" s="147"/>
      <c r="L91" s="147"/>
      <c r="M91" s="147"/>
      <c r="N91" s="147"/>
      <c r="O91" s="147"/>
      <c r="P91" s="147"/>
      <c r="Q91" s="147"/>
      <c r="R91" s="551">
        <f t="shared" si="30"/>
        <v>58236</v>
      </c>
      <c r="S91" s="147">
        <f t="shared" ref="S91" si="33">C91</f>
        <v>58236</v>
      </c>
      <c r="T91" s="147"/>
      <c r="U91" s="143"/>
    </row>
    <row r="92" spans="1:21" s="144" customFormat="1">
      <c r="A92" s="304" t="s">
        <v>1355</v>
      </c>
      <c r="B92" s="146">
        <f t="shared" si="29"/>
        <v>0</v>
      </c>
      <c r="C92" s="147"/>
      <c r="D92" s="147"/>
      <c r="E92" s="147"/>
      <c r="F92" s="147"/>
      <c r="G92" s="147"/>
      <c r="H92" s="147"/>
      <c r="I92" s="147"/>
      <c r="J92" s="147"/>
      <c r="K92" s="147"/>
      <c r="L92" s="147"/>
      <c r="M92" s="147"/>
      <c r="N92" s="147"/>
      <c r="O92" s="147"/>
      <c r="P92" s="147"/>
      <c r="Q92" s="147"/>
      <c r="R92" s="551">
        <f t="shared" si="30"/>
        <v>0</v>
      </c>
      <c r="S92" s="147"/>
      <c r="T92" s="147"/>
      <c r="U92" s="143"/>
    </row>
    <row r="93" spans="1:21" s="144" customFormat="1">
      <c r="A93" s="1199" t="s">
        <v>2748</v>
      </c>
      <c r="B93" s="146">
        <f t="shared" si="29"/>
        <v>5850</v>
      </c>
      <c r="C93" s="147">
        <f>1850+4000</f>
        <v>5850</v>
      </c>
      <c r="D93" s="147"/>
      <c r="E93" s="147"/>
      <c r="F93" s="147">
        <f>C93</f>
        <v>5850</v>
      </c>
      <c r="G93" s="147"/>
      <c r="H93" s="147"/>
      <c r="I93" s="147"/>
      <c r="J93" s="147"/>
      <c r="K93" s="147"/>
      <c r="L93" s="147"/>
      <c r="M93" s="147"/>
      <c r="N93" s="147"/>
      <c r="O93" s="147"/>
      <c r="P93" s="147"/>
      <c r="Q93" s="147"/>
      <c r="R93" s="551">
        <f t="shared" si="30"/>
        <v>5850</v>
      </c>
      <c r="S93" s="147">
        <f t="shared" ref="S93" si="34">C93</f>
        <v>5850</v>
      </c>
      <c r="T93" s="147"/>
      <c r="U93" s="143"/>
    </row>
    <row r="94" spans="1:21" s="144" customFormat="1">
      <c r="A94" s="1199" t="s">
        <v>34</v>
      </c>
      <c r="B94" s="146">
        <f t="shared" si="29"/>
        <v>0</v>
      </c>
      <c r="C94" s="147"/>
      <c r="D94" s="147"/>
      <c r="E94" s="147"/>
      <c r="F94" s="147"/>
      <c r="G94" s="147"/>
      <c r="H94" s="147"/>
      <c r="I94" s="147"/>
      <c r="J94" s="147"/>
      <c r="K94" s="147"/>
      <c r="L94" s="147"/>
      <c r="M94" s="147"/>
      <c r="N94" s="147"/>
      <c r="O94" s="147"/>
      <c r="P94" s="147"/>
      <c r="Q94" s="147"/>
      <c r="R94" s="551">
        <f t="shared" si="30"/>
        <v>0</v>
      </c>
      <c r="S94" s="147"/>
      <c r="T94" s="147"/>
      <c r="U94" s="143"/>
    </row>
    <row r="95" spans="1:21" s="144" customFormat="1">
      <c r="A95" s="1199" t="s">
        <v>34</v>
      </c>
      <c r="B95" s="146">
        <f t="shared" si="29"/>
        <v>0</v>
      </c>
      <c r="C95" s="147"/>
      <c r="D95" s="147"/>
      <c r="E95" s="147"/>
      <c r="F95" s="147"/>
      <c r="G95" s="147"/>
      <c r="H95" s="147"/>
      <c r="I95" s="147"/>
      <c r="J95" s="147"/>
      <c r="K95" s="147"/>
      <c r="L95" s="147"/>
      <c r="M95" s="147"/>
      <c r="N95" s="147"/>
      <c r="O95" s="147"/>
      <c r="P95" s="147"/>
      <c r="Q95" s="147"/>
      <c r="R95" s="551">
        <f t="shared" si="30"/>
        <v>0</v>
      </c>
      <c r="S95" s="147"/>
      <c r="T95" s="147"/>
      <c r="U95" s="143"/>
    </row>
    <row r="96" spans="1:21" s="144" customFormat="1">
      <c r="A96" s="149" t="s">
        <v>799</v>
      </c>
      <c r="B96" s="146">
        <f>SUM(C96:D96)</f>
        <v>5568184</v>
      </c>
      <c r="C96" s="146">
        <f t="shared" ref="C96:R96" si="35">SUM(C83:C95)</f>
        <v>5568184</v>
      </c>
      <c r="D96" s="146">
        <f t="shared" si="35"/>
        <v>0</v>
      </c>
      <c r="E96" s="146">
        <f t="shared" si="35"/>
        <v>0</v>
      </c>
      <c r="F96" s="146">
        <f t="shared" si="35"/>
        <v>3968184</v>
      </c>
      <c r="G96" s="146">
        <f t="shared" si="35"/>
        <v>1600000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71">
        <f t="shared" si="35"/>
        <v>5568184</v>
      </c>
      <c r="S96" s="150">
        <f>SUM(S84:S87,S89:S95)</f>
        <v>5164086</v>
      </c>
      <c r="T96" s="146">
        <f>SUM(T84:T87,T89:T95)</f>
        <v>0</v>
      </c>
      <c r="U96" s="143"/>
    </row>
    <row r="97" spans="1:21" s="144" customFormat="1">
      <c r="A97" s="149" t="s">
        <v>800</v>
      </c>
      <c r="B97" s="146">
        <f>SUM(C97:D97)</f>
        <v>64909545</v>
      </c>
      <c r="C97" s="146">
        <f t="shared" ref="C97:R97" si="36">SUM(C63+C70+C77+C81+C96)</f>
        <v>64909545</v>
      </c>
      <c r="D97" s="146">
        <f t="shared" si="36"/>
        <v>0</v>
      </c>
      <c r="E97" s="146">
        <f t="shared" si="36"/>
        <v>36359545</v>
      </c>
      <c r="F97" s="146">
        <f t="shared" si="36"/>
        <v>26950000</v>
      </c>
      <c r="G97" s="146">
        <f t="shared" si="36"/>
        <v>1600000</v>
      </c>
      <c r="H97" s="146">
        <f t="shared" si="36"/>
        <v>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64909545</v>
      </c>
      <c r="S97" s="146">
        <f>SUM(S63+S70+S81+S96)</f>
        <v>57095520</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7500000</v>
      </c>
      <c r="C99" s="1013">
        <v>7500000</v>
      </c>
      <c r="D99" s="1013"/>
      <c r="E99" s="1013">
        <f>1893145+947310</f>
        <v>2840455</v>
      </c>
      <c r="F99" s="147">
        <v>0</v>
      </c>
      <c r="G99" s="147"/>
      <c r="H99" s="147">
        <f>C99-E99-F99</f>
        <v>4659545</v>
      </c>
      <c r="I99" s="147"/>
      <c r="J99" s="147"/>
      <c r="K99" s="147"/>
      <c r="L99" s="147"/>
      <c r="M99" s="147"/>
      <c r="N99" s="147"/>
      <c r="O99" s="147"/>
      <c r="P99" s="147"/>
      <c r="Q99" s="147"/>
      <c r="R99" s="551">
        <f>SUM(E99:Q99)</f>
        <v>7500000</v>
      </c>
      <c r="S99" s="147">
        <f t="shared" ref="S99" si="37">C99</f>
        <v>7500000</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199"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7500000</v>
      </c>
      <c r="C104" s="146">
        <f>SUM(C99:C103)</f>
        <v>7500000</v>
      </c>
      <c r="D104" s="146">
        <f t="shared" ref="D104:T104" si="38">SUM(D99:D103)</f>
        <v>0</v>
      </c>
      <c r="E104" s="146">
        <f t="shared" si="38"/>
        <v>2840455</v>
      </c>
      <c r="F104" s="146">
        <f t="shared" si="38"/>
        <v>0</v>
      </c>
      <c r="G104" s="146">
        <f t="shared" si="38"/>
        <v>0</v>
      </c>
      <c r="H104" s="146">
        <f t="shared" si="38"/>
        <v>4659545</v>
      </c>
      <c r="I104" s="146">
        <f t="shared" si="38"/>
        <v>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71">
        <f t="shared" si="38"/>
        <v>7500000</v>
      </c>
      <c r="S104" s="150">
        <f t="shared" si="38"/>
        <v>7500000</v>
      </c>
      <c r="T104" s="150">
        <f t="shared" si="38"/>
        <v>0</v>
      </c>
      <c r="U104" s="143"/>
    </row>
    <row r="105" spans="1:21" s="144" customFormat="1">
      <c r="A105" s="149" t="s">
        <v>805</v>
      </c>
      <c r="B105" s="150">
        <f>SUM(C105:D105)</f>
        <v>72409545</v>
      </c>
      <c r="C105" s="150">
        <f t="shared" ref="C105:R105" si="39">SUM(C97+C104)</f>
        <v>72409545</v>
      </c>
      <c r="D105" s="150">
        <f t="shared" si="39"/>
        <v>0</v>
      </c>
      <c r="E105" s="150">
        <f t="shared" si="39"/>
        <v>39200000</v>
      </c>
      <c r="F105" s="150">
        <f t="shared" si="39"/>
        <v>26950000</v>
      </c>
      <c r="G105" s="150">
        <f t="shared" si="39"/>
        <v>1600000</v>
      </c>
      <c r="H105" s="150">
        <f t="shared" si="39"/>
        <v>4659545</v>
      </c>
      <c r="I105" s="150">
        <f t="shared" si="39"/>
        <v>0</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71">
        <f t="shared" si="39"/>
        <v>72409545</v>
      </c>
      <c r="S105" s="150">
        <f>S97+S104</f>
        <v>64595520</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64595520</v>
      </c>
      <c r="T107" s="150">
        <f>T105+T106</f>
        <v>0</v>
      </c>
    </row>
    <row r="108" spans="1:21" s="201" customFormat="1">
      <c r="A108" s="162" t="s">
        <v>909</v>
      </c>
      <c r="B108" s="157"/>
      <c r="C108" s="157"/>
      <c r="D108" s="157"/>
      <c r="E108" s="323">
        <f>Application!AO636</f>
        <v>39200000</v>
      </c>
      <c r="F108" s="323">
        <f>Application!AO623</f>
        <v>26950000</v>
      </c>
      <c r="G108" s="323">
        <f>Application!AO624</f>
        <v>1600000</v>
      </c>
      <c r="H108" s="323">
        <f>Application!AO625</f>
        <v>4659545</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2512</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81" t="s">
        <v>1048</v>
      </c>
      <c r="E122" s="1881"/>
      <c r="F122" s="1881"/>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72" t="s">
        <v>1372</v>
      </c>
      <c r="E123" s="1873"/>
      <c r="F123" s="1873"/>
      <c r="G123" s="1873"/>
      <c r="H123" s="1873"/>
      <c r="I123" s="1873"/>
      <c r="J123" s="1873"/>
      <c r="K123" s="1873"/>
      <c r="L123" s="1873"/>
      <c r="M123" s="1873"/>
      <c r="N123" s="1873"/>
      <c r="O123" s="1873"/>
      <c r="P123" s="1873"/>
      <c r="Q123" s="1873"/>
      <c r="R123" s="1873"/>
      <c r="S123" s="1873"/>
      <c r="T123" s="353"/>
      <c r="U123" s="355"/>
    </row>
    <row r="124" spans="1:21" ht="12.75">
      <c r="A124" s="117" t="s">
        <v>1050</v>
      </c>
      <c r="B124" s="362"/>
      <c r="C124" s="117"/>
      <c r="D124" s="1873"/>
      <c r="E124" s="1873"/>
      <c r="F124" s="1873"/>
      <c r="G124" s="1873"/>
      <c r="H124" s="1873"/>
      <c r="I124" s="1873"/>
      <c r="J124" s="1873"/>
      <c r="K124" s="1873"/>
      <c r="L124" s="1873"/>
      <c r="M124" s="1873"/>
      <c r="N124" s="1873"/>
      <c r="O124" s="1873"/>
      <c r="P124" s="1873"/>
      <c r="Q124" s="1873"/>
      <c r="R124" s="1873"/>
      <c r="S124" s="1873"/>
      <c r="T124" s="353"/>
      <c r="U124" s="355"/>
    </row>
    <row r="125" spans="1:21" ht="12.75">
      <c r="A125" s="117" t="s">
        <v>1051</v>
      </c>
      <c r="B125" s="362"/>
      <c r="C125" s="117"/>
      <c r="D125" s="1873"/>
      <c r="E125" s="1873"/>
      <c r="F125" s="1873"/>
      <c r="G125" s="1873"/>
      <c r="H125" s="1873"/>
      <c r="I125" s="1873"/>
      <c r="J125" s="1873"/>
      <c r="K125" s="1873"/>
      <c r="L125" s="1873"/>
      <c r="M125" s="1873"/>
      <c r="N125" s="1873"/>
      <c r="O125" s="1873"/>
      <c r="P125" s="1873"/>
      <c r="Q125" s="1873"/>
      <c r="R125" s="1873"/>
      <c r="S125" s="1873"/>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76"/>
      <c r="E128" s="1876"/>
      <c r="F128" s="1876"/>
      <c r="G128" s="1876"/>
      <c r="H128" s="1876"/>
      <c r="I128" s="117"/>
      <c r="J128" s="1871"/>
      <c r="K128" s="1871"/>
      <c r="L128" s="117"/>
      <c r="M128" s="117"/>
      <c r="N128" s="117"/>
      <c r="O128" s="117"/>
      <c r="P128" s="117"/>
      <c r="Q128" s="117"/>
      <c r="R128" s="117"/>
      <c r="S128" s="117"/>
      <c r="T128" s="353"/>
      <c r="U128" s="355"/>
    </row>
    <row r="129" spans="1:21" ht="12.75">
      <c r="A129" s="117" t="s">
        <v>302</v>
      </c>
      <c r="B129" s="362"/>
      <c r="C129" s="117"/>
      <c r="D129" s="1880" t="s">
        <v>1055</v>
      </c>
      <c r="E129" s="1880"/>
      <c r="F129" s="1880"/>
      <c r="G129" s="1880"/>
      <c r="H129" s="1880"/>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41"/>
      <c r="E131" s="1441"/>
      <c r="F131" s="1441"/>
      <c r="G131" s="1441"/>
      <c r="H131" s="1441"/>
      <c r="I131" s="117"/>
      <c r="J131" s="1441"/>
      <c r="K131" s="1441"/>
      <c r="L131" s="1441"/>
      <c r="M131" s="1441"/>
      <c r="N131" s="117"/>
      <c r="O131" s="117"/>
      <c r="P131" s="117"/>
      <c r="Q131" s="117"/>
      <c r="R131" s="117"/>
      <c r="S131" s="117"/>
      <c r="T131" s="353"/>
      <c r="U131" s="355"/>
    </row>
    <row r="132" spans="1:21" ht="12" customHeight="1">
      <c r="A132" s="365"/>
      <c r="B132" s="117"/>
      <c r="C132" s="117"/>
      <c r="D132" s="1874" t="s">
        <v>1058</v>
      </c>
      <c r="E132" s="1874"/>
      <c r="F132" s="1874"/>
      <c r="G132" s="1874"/>
      <c r="H132" s="1874"/>
      <c r="I132" s="117"/>
      <c r="J132" s="1874" t="s">
        <v>1059</v>
      </c>
      <c r="K132" s="1874"/>
      <c r="L132" s="1874"/>
      <c r="M132" s="1874"/>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f>Application!AM550/('Sources and Uses Budget'!C12+'Sources and Uses Budget'!S107+1500000)</f>
        <v>0.50966291768332284</v>
      </c>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5"/>
      <c r="B138" s="1876"/>
      <c r="C138" s="1876"/>
      <c r="D138" s="357"/>
      <c r="E138" s="1871"/>
      <c r="F138" s="1871"/>
      <c r="G138" s="117"/>
      <c r="H138" s="117"/>
      <c r="I138" s="117"/>
      <c r="J138" s="117"/>
      <c r="K138" s="117"/>
      <c r="L138" s="117"/>
      <c r="M138" s="117"/>
      <c r="N138" s="117"/>
      <c r="O138" s="117"/>
      <c r="P138" s="117"/>
      <c r="Q138" s="117"/>
      <c r="R138" s="117"/>
      <c r="S138" s="117"/>
      <c r="T138" s="359"/>
      <c r="U138" s="360"/>
    </row>
    <row r="139" spans="1:21" ht="12.75">
      <c r="A139" s="1870" t="s">
        <v>1062</v>
      </c>
      <c r="B139" s="1870"/>
      <c r="C139" s="1870"/>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84" t="s">
        <v>1375</v>
      </c>
      <c r="B1" s="1885"/>
      <c r="C1" s="1885"/>
      <c r="D1" s="1885"/>
      <c r="E1" s="1885"/>
      <c r="F1" s="1885"/>
      <c r="G1" s="1885"/>
      <c r="H1" s="1885"/>
      <c r="I1" s="1885"/>
      <c r="J1" s="1886"/>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2466680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110640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2577320</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2577320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10192000</v>
      </c>
      <c r="C29" s="394"/>
      <c r="D29" s="394"/>
      <c r="E29" s="393">
        <f>'Sources and Uses Budget'!S29</f>
        <v>10192000</v>
      </c>
      <c r="F29" s="394"/>
      <c r="G29" s="394"/>
      <c r="H29" s="393">
        <f>'Sources and Uses Budget'!T29</f>
        <v>0</v>
      </c>
      <c r="I29" s="394"/>
      <c r="J29" s="394"/>
      <c r="K29" s="391"/>
    </row>
    <row r="30" spans="1:11" s="392" customFormat="1">
      <c r="A30" s="145" t="s">
        <v>609</v>
      </c>
      <c r="B30" s="393">
        <f>'Sources and Uses Budget'!C30</f>
        <v>27114855</v>
      </c>
      <c r="C30" s="394"/>
      <c r="D30" s="394"/>
      <c r="E30" s="393">
        <f>'Sources and Uses Budget'!S30</f>
        <v>25614855</v>
      </c>
      <c r="F30" s="394"/>
      <c r="G30" s="394"/>
      <c r="H30" s="393">
        <f>'Sources and Uses Budget'!T30</f>
        <v>0</v>
      </c>
      <c r="I30" s="394"/>
      <c r="J30" s="394"/>
      <c r="K30" s="391"/>
    </row>
    <row r="31" spans="1:11" s="392" customFormat="1">
      <c r="A31" s="145" t="s">
        <v>610</v>
      </c>
      <c r="B31" s="393">
        <f>'Sources and Uses Budget'!C31</f>
        <v>2238411</v>
      </c>
      <c r="C31" s="394"/>
      <c r="D31" s="394"/>
      <c r="E31" s="393">
        <f>'Sources and Uses Budget'!S31</f>
        <v>2238411</v>
      </c>
      <c r="F31" s="394"/>
      <c r="G31" s="394"/>
      <c r="H31" s="393">
        <f>'Sources and Uses Budget'!T31</f>
        <v>0</v>
      </c>
      <c r="I31" s="394"/>
      <c r="J31" s="394"/>
      <c r="K31" s="391"/>
    </row>
    <row r="32" spans="1:11" s="392" customFormat="1">
      <c r="A32" s="145" t="s">
        <v>138</v>
      </c>
      <c r="B32" s="393">
        <f>'Sources and Uses Budget'!C32</f>
        <v>500000</v>
      </c>
      <c r="C32" s="394"/>
      <c r="D32" s="394"/>
      <c r="E32" s="393">
        <f>'Sources and Uses Budget'!S32</f>
        <v>500000</v>
      </c>
      <c r="F32" s="394"/>
      <c r="G32" s="394"/>
      <c r="H32" s="393">
        <f>'Sources and Uses Budget'!T32</f>
        <v>0</v>
      </c>
      <c r="I32" s="394"/>
      <c r="J32" s="394"/>
      <c r="K32" s="391"/>
    </row>
    <row r="33" spans="1:11" s="392" customFormat="1">
      <c r="A33" s="145" t="s">
        <v>139</v>
      </c>
      <c r="B33" s="393">
        <f>'Sources and Uses Budget'!C33</f>
        <v>1865343</v>
      </c>
      <c r="C33" s="394"/>
      <c r="D33" s="394"/>
      <c r="E33" s="393">
        <f>'Sources and Uses Budget'!S33</f>
        <v>1865343</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350000</v>
      </c>
      <c r="C35" s="394"/>
      <c r="D35" s="394"/>
      <c r="E35" s="393">
        <f>'Sources and Uses Budget'!S35</f>
        <v>350000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(P&amp;P Bond)</v>
      </c>
      <c r="B37" s="393">
        <f>'Sources and Uses Budget'!C37</f>
        <v>450000</v>
      </c>
      <c r="C37" s="394"/>
      <c r="D37" s="394"/>
      <c r="E37" s="393">
        <f>'Sources and Uses Budget'!S37</f>
        <v>450000</v>
      </c>
      <c r="F37" s="394"/>
      <c r="G37" s="394"/>
      <c r="H37" s="393">
        <f>'Sources and Uses Budget'!T37</f>
        <v>0</v>
      </c>
      <c r="I37" s="394"/>
      <c r="J37" s="394"/>
      <c r="K37" s="391"/>
    </row>
    <row r="38" spans="1:11" s="392" customFormat="1">
      <c r="A38" s="397" t="s">
        <v>144</v>
      </c>
      <c r="B38" s="393">
        <f>'Sources and Uses Budget'!C38</f>
        <v>42710609</v>
      </c>
      <c r="C38" s="393">
        <f>SUM(C29:C37)</f>
        <v>0</v>
      </c>
      <c r="D38" s="393">
        <f>SUM(D29:D37)</f>
        <v>0</v>
      </c>
      <c r="E38" s="393">
        <f>'Sources and Uses Budget'!S38</f>
        <v>41210609</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500000</v>
      </c>
      <c r="C40" s="394"/>
      <c r="D40" s="394"/>
      <c r="E40" s="393">
        <f>'Sources and Uses Budget'!S40</f>
        <v>500000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500000</v>
      </c>
      <c r="C42" s="393">
        <f>SUM(C39:C41)</f>
        <v>0</v>
      </c>
      <c r="D42" s="393">
        <f>SUM(D39:D41)</f>
        <v>0</v>
      </c>
      <c r="E42" s="393">
        <f>'Sources and Uses Budget'!S42</f>
        <v>500000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1000000</v>
      </c>
      <c r="C43" s="394"/>
      <c r="D43" s="394"/>
      <c r="E43" s="393">
        <f>'Sources and Uses Budget'!S43</f>
        <v>1000000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3500000</v>
      </c>
      <c r="C45" s="394"/>
      <c r="D45" s="394"/>
      <c r="E45" s="393">
        <f>'Sources and Uses Budget'!S45</f>
        <v>2791251</v>
      </c>
      <c r="F45" s="394"/>
      <c r="G45" s="394"/>
      <c r="H45" s="393">
        <f>'Sources and Uses Budget'!T45</f>
        <v>0</v>
      </c>
      <c r="I45" s="394"/>
      <c r="J45" s="394"/>
      <c r="K45" s="391"/>
    </row>
    <row r="46" spans="1:11" s="392" customFormat="1">
      <c r="A46" s="396" t="s">
        <v>152</v>
      </c>
      <c r="B46" s="393">
        <f>'Sources and Uses Budget'!C46</f>
        <v>505444</v>
      </c>
      <c r="C46" s="394"/>
      <c r="D46" s="394"/>
      <c r="E46" s="393">
        <f>'Sources and Uses Budget'!S46</f>
        <v>505444</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100000</v>
      </c>
      <c r="C50" s="394"/>
      <c r="D50" s="394"/>
      <c r="E50" s="393">
        <f>'Sources and Uses Budget'!S50</f>
        <v>100000</v>
      </c>
      <c r="F50" s="394"/>
      <c r="G50" s="394"/>
      <c r="H50" s="393">
        <f>'Sources and Uses Budget'!T50</f>
        <v>0</v>
      </c>
      <c r="I50" s="394"/>
      <c r="J50" s="394"/>
      <c r="K50" s="391"/>
    </row>
    <row r="51" spans="1:11" s="392" customFormat="1">
      <c r="A51" s="396" t="s">
        <v>155</v>
      </c>
      <c r="B51" s="393">
        <f>'Sources and Uses Budget'!C51</f>
        <v>100000</v>
      </c>
      <c r="C51" s="394"/>
      <c r="D51" s="394"/>
      <c r="E51" s="393">
        <f>'Sources and Uses Budget'!S51</f>
        <v>50000</v>
      </c>
      <c r="F51" s="394"/>
      <c r="G51" s="394"/>
      <c r="H51" s="393">
        <f>'Sources and Uses Budget'!T51</f>
        <v>0</v>
      </c>
      <c r="I51" s="394"/>
      <c r="J51" s="394"/>
      <c r="K51" s="391"/>
    </row>
    <row r="52" spans="1:11" s="392" customFormat="1">
      <c r="A52" s="396" t="s">
        <v>156</v>
      </c>
      <c r="B52" s="393">
        <f>'Sources and Uses Budget'!C52</f>
        <v>85000</v>
      </c>
      <c r="C52" s="394"/>
      <c r="D52" s="394"/>
      <c r="E52" s="393">
        <f>'Sources and Uses Budget'!S52</f>
        <v>85000</v>
      </c>
      <c r="F52" s="394"/>
      <c r="G52" s="394"/>
      <c r="H52" s="393">
        <f>'Sources and Uses Budget'!T52</f>
        <v>0</v>
      </c>
      <c r="I52" s="394"/>
      <c r="J52" s="394"/>
      <c r="K52" s="391"/>
    </row>
    <row r="53" spans="1:11" s="392" customFormat="1">
      <c r="A53" s="396" t="str">
        <f>'Sources and Uses Budget'!$A53</f>
        <v>Other: (Construction Monitoring)</v>
      </c>
      <c r="B53" s="393">
        <f>'Sources and Uses Budget'!C53</f>
        <v>91000</v>
      </c>
      <c r="C53" s="394"/>
      <c r="D53" s="394"/>
      <c r="E53" s="393">
        <f>'Sources and Uses Budget'!S53</f>
        <v>91000</v>
      </c>
      <c r="F53" s="394"/>
      <c r="G53" s="394"/>
      <c r="H53" s="393">
        <f>'Sources and Uses Budget'!T53</f>
        <v>0</v>
      </c>
      <c r="I53" s="394"/>
      <c r="J53" s="394"/>
      <c r="K53" s="391"/>
    </row>
    <row r="54" spans="1:11" s="401" customFormat="1">
      <c r="A54" s="397" t="s">
        <v>158</v>
      </c>
      <c r="B54" s="393">
        <f>'Sources and Uses Budget'!C54</f>
        <v>4381444</v>
      </c>
      <c r="C54" s="399">
        <f>SUM(C45:C53)</f>
        <v>0</v>
      </c>
      <c r="D54" s="399">
        <f>SUM(D45:D53)</f>
        <v>0</v>
      </c>
      <c r="E54" s="393">
        <f>'Sources and Uses Budget'!S54</f>
        <v>3622695</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404250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(Bond Fees)</v>
      </c>
      <c r="B61" s="393">
        <f>'Sources and Uses Budget'!C61</f>
        <v>130250</v>
      </c>
      <c r="C61" s="394"/>
      <c r="D61" s="394"/>
      <c r="E61" s="395"/>
      <c r="F61" s="395"/>
      <c r="G61" s="395"/>
      <c r="H61" s="395"/>
      <c r="I61" s="395"/>
      <c r="J61" s="395"/>
      <c r="K61" s="391"/>
    </row>
    <row r="62" spans="1:11" s="392" customFormat="1" ht="13.7" customHeight="1">
      <c r="A62" s="397" t="s">
        <v>303</v>
      </c>
      <c r="B62" s="393">
        <f>'Sources and Uses Budget'!C62</f>
        <v>534500</v>
      </c>
      <c r="C62" s="393">
        <f>SUM(C56:C61)</f>
        <v>0</v>
      </c>
      <c r="D62" s="393">
        <f>SUM(D56:D61)</f>
        <v>0</v>
      </c>
      <c r="E62" s="395"/>
      <c r="F62" s="395"/>
      <c r="G62" s="395"/>
      <c r="H62" s="395"/>
      <c r="I62" s="395"/>
      <c r="J62" s="395"/>
      <c r="K62" s="391"/>
    </row>
    <row r="63" spans="1:11" s="392" customFormat="1">
      <c r="A63" s="402" t="s">
        <v>304</v>
      </c>
      <c r="B63" s="393">
        <f>'Sources and Uses Budget'!C63</f>
        <v>51703873</v>
      </c>
      <c r="C63" s="393">
        <f>SUM(C8+C11+C13+C14+C15+C26+C27+C38+C42+C43+C54+C62)</f>
        <v>0</v>
      </c>
      <c r="D63" s="393">
        <f>SUM(D8+D11+D13+D14+D15+D26+D27+D38+D42+D43+D54+D62)</f>
        <v>0</v>
      </c>
      <c r="E63" s="393">
        <f>'Sources and Uses Budget'!S63</f>
        <v>46333304</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140000</v>
      </c>
      <c r="C65" s="394"/>
      <c r="D65" s="394"/>
      <c r="E65" s="393">
        <f>'Sources and Uses Budget'!S65</f>
        <v>140000</v>
      </c>
      <c r="F65" s="394"/>
      <c r="G65" s="394"/>
      <c r="H65" s="393">
        <f>'Sources and Uses Budget'!T65</f>
        <v>0</v>
      </c>
      <c r="I65" s="394"/>
      <c r="J65" s="394"/>
      <c r="K65" s="391"/>
    </row>
    <row r="66" spans="1:11" s="392" customFormat="1" ht="24">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(Developer Legal)</v>
      </c>
      <c r="B69" s="393">
        <f>'Sources and Uses Budget'!C69</f>
        <v>329178</v>
      </c>
      <c r="C69" s="394"/>
      <c r="D69" s="394"/>
      <c r="E69" s="393">
        <f>'Sources and Uses Budget'!S69</f>
        <v>154178</v>
      </c>
      <c r="F69" s="394"/>
      <c r="G69" s="394"/>
      <c r="H69" s="393">
        <f>'Sources and Uses Budget'!T69</f>
        <v>0</v>
      </c>
      <c r="I69" s="394"/>
      <c r="J69" s="394"/>
      <c r="K69" s="391"/>
    </row>
    <row r="70" spans="1:11" s="392" customFormat="1">
      <c r="A70" s="397" t="s">
        <v>611</v>
      </c>
      <c r="B70" s="393">
        <f>'Sources and Uses Budget'!C70</f>
        <v>469178</v>
      </c>
      <c r="C70" s="393">
        <f>SUM(C64:C69)</f>
        <v>0</v>
      </c>
      <c r="D70" s="393">
        <f>SUM(D64:D69)</f>
        <v>0</v>
      </c>
      <c r="E70" s="393">
        <f>'Sources and Uses Budget'!S70</f>
        <v>294178</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75000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751974</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826974</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4551336</v>
      </c>
      <c r="C79" s="394"/>
      <c r="D79" s="394"/>
      <c r="E79" s="393">
        <f>'Sources and Uses Budget'!S79</f>
        <v>4551336</v>
      </c>
      <c r="F79" s="394"/>
      <c r="G79" s="394"/>
      <c r="H79" s="393">
        <f>'Sources and Uses Budget'!T79</f>
        <v>0</v>
      </c>
      <c r="I79" s="394"/>
      <c r="J79" s="394"/>
      <c r="K79" s="391"/>
    </row>
    <row r="80" spans="1:11" s="392" customFormat="1">
      <c r="A80" s="396" t="s">
        <v>58</v>
      </c>
      <c r="B80" s="393">
        <f>'Sources and Uses Budget'!C80</f>
        <v>1790000</v>
      </c>
      <c r="C80" s="394"/>
      <c r="D80" s="394"/>
      <c r="E80" s="393">
        <f>'Sources and Uses Budget'!S80</f>
        <v>752616</v>
      </c>
      <c r="F80" s="394"/>
      <c r="G80" s="394"/>
      <c r="H80" s="393">
        <f>'Sources and Uses Budget'!T80</f>
        <v>0</v>
      </c>
      <c r="I80" s="394"/>
      <c r="J80" s="394"/>
      <c r="K80" s="391"/>
    </row>
    <row r="81" spans="1:11" s="392" customFormat="1">
      <c r="A81" s="397" t="s">
        <v>1353</v>
      </c>
      <c r="B81" s="393">
        <f>'Sources and Uses Budget'!C81</f>
        <v>6341336</v>
      </c>
      <c r="C81" s="393">
        <f>SUM(C79:C80)</f>
        <v>0</v>
      </c>
      <c r="D81" s="393">
        <f>SUM(D79:D80)</f>
        <v>0</v>
      </c>
      <c r="E81" s="393">
        <f>'Sources and Uses Budget'!S81</f>
        <v>5303952</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2511</v>
      </c>
      <c r="B83" s="393">
        <f>'Sources and Uses Budget'!C83</f>
        <v>114540</v>
      </c>
      <c r="C83" s="394"/>
      <c r="D83" s="394"/>
      <c r="E83" s="395"/>
      <c r="F83" s="395"/>
      <c r="G83" s="395"/>
      <c r="H83" s="395"/>
      <c r="I83" s="395"/>
      <c r="J83" s="395"/>
      <c r="K83" s="391"/>
    </row>
    <row r="84" spans="1:11" s="392" customFormat="1">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793</v>
      </c>
      <c r="B85" s="393">
        <f>'Sources and Uses Budget'!C85</f>
        <v>4600000</v>
      </c>
      <c r="C85" s="394"/>
      <c r="D85" s="394"/>
      <c r="E85" s="393">
        <f>'Sources and Uses Budget'!S85</f>
        <v>4600000</v>
      </c>
      <c r="F85" s="394"/>
      <c r="G85" s="394"/>
      <c r="H85" s="393">
        <f>'Sources and Uses Budget'!T85</f>
        <v>0</v>
      </c>
      <c r="I85" s="394"/>
      <c r="J85" s="394"/>
      <c r="K85" s="391"/>
    </row>
    <row r="86" spans="1:11" s="392" customFormat="1">
      <c r="A86" s="145" t="s">
        <v>794</v>
      </c>
      <c r="B86" s="393">
        <f>'Sources and Uses Budget'!C86</f>
        <v>300000</v>
      </c>
      <c r="C86" s="394"/>
      <c r="D86" s="394"/>
      <c r="E86" s="393">
        <f>'Sources and Uses Budget'!S86</f>
        <v>300000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289558</v>
      </c>
      <c r="C88" s="394"/>
      <c r="D88" s="394"/>
      <c r="E88" s="395"/>
      <c r="F88" s="395"/>
      <c r="G88" s="395"/>
      <c r="H88" s="395"/>
      <c r="I88" s="395"/>
      <c r="J88" s="395"/>
      <c r="K88" s="391"/>
    </row>
    <row r="89" spans="1:11" s="392" customFormat="1">
      <c r="A89" s="145" t="s">
        <v>797</v>
      </c>
      <c r="B89" s="393">
        <f>'Sources and Uses Budget'!C89</f>
        <v>200000</v>
      </c>
      <c r="C89" s="394"/>
      <c r="D89" s="394"/>
      <c r="E89" s="393">
        <f>'Sources and Uses Budget'!S89</f>
        <v>200000</v>
      </c>
      <c r="F89" s="394"/>
      <c r="G89" s="394"/>
      <c r="H89" s="393">
        <f>'Sources and Uses Budget'!T89</f>
        <v>0</v>
      </c>
      <c r="I89" s="394"/>
      <c r="J89" s="394"/>
      <c r="K89" s="391"/>
    </row>
    <row r="90" spans="1:11" s="392" customFormat="1">
      <c r="A90" s="145" t="s">
        <v>798</v>
      </c>
      <c r="B90" s="393">
        <f>'Sources and Uses Budget'!C90</f>
        <v>0</v>
      </c>
      <c r="C90" s="394"/>
      <c r="D90" s="394"/>
      <c r="E90" s="393">
        <f>'Sources and Uses Budget'!S90</f>
        <v>0</v>
      </c>
      <c r="F90" s="394"/>
      <c r="G90" s="394"/>
      <c r="H90" s="393">
        <f>'Sources and Uses Budget'!T90</f>
        <v>0</v>
      </c>
      <c r="I90" s="394"/>
      <c r="J90" s="394"/>
      <c r="K90" s="391"/>
    </row>
    <row r="91" spans="1:11" s="392" customFormat="1">
      <c r="A91" s="155" t="s">
        <v>374</v>
      </c>
      <c r="B91" s="393">
        <f>'Sources and Uses Budget'!C91</f>
        <v>58236</v>
      </c>
      <c r="C91" s="394"/>
      <c r="D91" s="394"/>
      <c r="E91" s="393">
        <f>'Sources and Uses Budget'!S91</f>
        <v>58236</v>
      </c>
      <c r="F91" s="394"/>
      <c r="G91" s="394"/>
      <c r="H91" s="393">
        <f>'Sources and Uses Budget'!T91</f>
        <v>0</v>
      </c>
      <c r="I91" s="394"/>
      <c r="J91" s="394"/>
      <c r="K91" s="391"/>
    </row>
    <row r="92" spans="1:11" s="392" customFormat="1">
      <c r="A92" s="543" t="s">
        <v>1355</v>
      </c>
      <c r="B92" s="393">
        <f>'Sources and Uses Budget'!C92</f>
        <v>0</v>
      </c>
      <c r="C92" s="394"/>
      <c r="D92" s="394"/>
      <c r="E92" s="393">
        <f>'Sources and Uses Budget'!S92</f>
        <v>0</v>
      </c>
      <c r="F92" s="394"/>
      <c r="G92" s="394"/>
      <c r="H92" s="393">
        <f>'Sources and Uses Budget'!T92</f>
        <v>0</v>
      </c>
      <c r="I92" s="394"/>
      <c r="J92" s="394"/>
      <c r="K92" s="391"/>
    </row>
    <row r="93" spans="1:11" s="392" customFormat="1">
      <c r="A93" s="396" t="str">
        <f>'Sources and Uses Budget'!$A93</f>
        <v>Other: (Other Soft Costs)</v>
      </c>
      <c r="B93" s="393">
        <f>'Sources and Uses Budget'!C93</f>
        <v>5850</v>
      </c>
      <c r="C93" s="394"/>
      <c r="D93" s="394"/>
      <c r="E93" s="393">
        <f>'Sources and Uses Budget'!S93</f>
        <v>5850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5568184</v>
      </c>
      <c r="C96" s="393">
        <f>SUM(C83:C95)</f>
        <v>0</v>
      </c>
      <c r="D96" s="393">
        <f>SUM(D83:D95)</f>
        <v>0</v>
      </c>
      <c r="E96" s="393">
        <f>'Sources and Uses Budget'!S96</f>
        <v>5164086</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64909545</v>
      </c>
      <c r="C97" s="393">
        <f>SUM(C63+C70+C77+C81+C96)</f>
        <v>0</v>
      </c>
      <c r="D97" s="393">
        <f>SUM(D63+D70+D77+D81+D96)</f>
        <v>0</v>
      </c>
      <c r="E97" s="393">
        <f>'Sources and Uses Budget'!S97</f>
        <v>57095520</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7500000</v>
      </c>
      <c r="C99" s="394"/>
      <c r="D99" s="394"/>
      <c r="E99" s="393">
        <f>'Sources and Uses Budget'!S99</f>
        <v>7500000</v>
      </c>
      <c r="F99" s="394"/>
      <c r="G99" s="394"/>
      <c r="H99" s="393">
        <f>'Sources and Uses Budget'!T99</f>
        <v>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7500000</v>
      </c>
      <c r="C104" s="393">
        <f>SUM(C99:C103)</f>
        <v>0</v>
      </c>
      <c r="D104" s="393">
        <f>SUM(D99:D103)</f>
        <v>0</v>
      </c>
      <c r="E104" s="393">
        <f>'Sources and Uses Budget'!S104</f>
        <v>7500000</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72409545</v>
      </c>
      <c r="C105" s="399">
        <f>SUM(C97+C104)</f>
        <v>0</v>
      </c>
      <c r="D105" s="399">
        <f>SUM(D97+D104)</f>
        <v>0</v>
      </c>
      <c r="E105" s="393">
        <f>'Sources and Uses Budget'!S105</f>
        <v>64595520</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64595520</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82"/>
      <c r="E124" s="1339"/>
      <c r="F124" s="1339"/>
      <c r="G124" s="1339"/>
      <c r="H124" s="1339"/>
      <c r="I124" s="1339"/>
      <c r="J124" s="408"/>
      <c r="K124" s="391"/>
    </row>
    <row r="125" spans="1:11" s="392" customFormat="1" ht="12.75">
      <c r="A125" s="417"/>
      <c r="B125" s="416"/>
      <c r="C125" s="417"/>
      <c r="D125" s="1339"/>
      <c r="E125" s="1339"/>
      <c r="F125" s="1339"/>
      <c r="G125" s="1339"/>
      <c r="H125" s="1339"/>
      <c r="I125" s="1339"/>
      <c r="J125" s="408"/>
      <c r="K125" s="391"/>
    </row>
    <row r="126" spans="1:11" s="392" customFormat="1" ht="12.75">
      <c r="A126" s="417"/>
      <c r="B126" s="416"/>
      <c r="C126" s="417"/>
      <c r="D126" s="1339"/>
      <c r="E126" s="1339"/>
      <c r="F126" s="1339"/>
      <c r="G126" s="1339"/>
      <c r="H126" s="1339"/>
      <c r="I126" s="1339"/>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83"/>
      <c r="B139" s="1339"/>
      <c r="C139" s="1339"/>
      <c r="D139" s="388"/>
      <c r="E139" s="417"/>
      <c r="F139" s="417"/>
      <c r="G139" s="417"/>
    </row>
    <row r="140" spans="1:11" ht="12" customHeight="1">
      <c r="A140" s="1277"/>
      <c r="B140" s="1277"/>
      <c r="C140" s="1277"/>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53" zoomScaleNormal="100" zoomScaleSheetLayoutView="100" workbookViewId="0">
      <selection activeCell="U740" sqref="U74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1" t="s">
        <v>1474</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row>
    <row r="2" spans="1:42" s="571" customFormat="1" ht="12.75" customHeight="1" thickBot="1">
      <c r="A2" s="2112"/>
      <c r="B2" s="2112"/>
      <c r="C2" s="2112"/>
      <c r="D2" s="2112"/>
      <c r="E2" s="2112"/>
      <c r="F2" s="2112"/>
      <c r="G2" s="2112"/>
      <c r="H2" s="2112"/>
      <c r="I2" s="2112"/>
      <c r="J2" s="2112"/>
      <c r="K2" s="2112"/>
      <c r="L2" s="2112"/>
      <c r="M2" s="2112"/>
      <c r="N2" s="2112"/>
      <c r="O2" s="2112"/>
      <c r="P2" s="2112"/>
      <c r="Q2" s="2112"/>
      <c r="R2" s="2112"/>
      <c r="S2" s="2112"/>
      <c r="T2" s="2112"/>
      <c r="U2" s="2112"/>
      <c r="V2" s="2112"/>
      <c r="W2" s="2112"/>
      <c r="X2" s="2112"/>
      <c r="Y2" s="2112"/>
      <c r="Z2" s="2112"/>
      <c r="AA2" s="2112"/>
      <c r="AB2" s="2112"/>
      <c r="AC2" s="2112"/>
      <c r="AD2" s="2112"/>
      <c r="AE2" s="2112"/>
      <c r="AF2" s="2112"/>
      <c r="AG2" s="2112"/>
      <c r="AH2" s="2112"/>
      <c r="AI2" s="2112"/>
      <c r="AJ2" s="2112"/>
      <c r="AK2" s="2112"/>
      <c r="AL2" s="2112"/>
      <c r="AM2" s="211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27" t="s">
        <v>1479</v>
      </c>
      <c r="AF7" s="1927"/>
      <c r="AG7" s="1927"/>
      <c r="AH7" s="1927"/>
      <c r="AI7" s="1927"/>
      <c r="AJ7" s="1927"/>
      <c r="AK7" s="1927"/>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2404</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1" t="s">
        <v>2398</v>
      </c>
      <c r="D11" s="1191"/>
      <c r="E11" s="1191"/>
      <c r="F11" s="1191"/>
      <c r="G11" s="1191"/>
      <c r="H11" s="1191"/>
      <c r="I11" s="1191"/>
      <c r="J11" s="1191"/>
      <c r="K11" s="1191"/>
      <c r="L11" s="1191"/>
      <c r="M11" s="1191"/>
      <c r="N11" s="1191"/>
      <c r="O11" s="1191"/>
      <c r="P11" s="1191"/>
      <c r="Q11" s="1191"/>
      <c r="R11" s="1191"/>
      <c r="S11" s="1191"/>
      <c r="T11" s="1191"/>
      <c r="U11" s="1191"/>
      <c r="V11" s="1191"/>
      <c r="W11" s="1191"/>
      <c r="X11" s="1191"/>
      <c r="Y11" s="1191"/>
      <c r="Z11" s="1191"/>
      <c r="AA11" s="1191"/>
      <c r="AB11" s="1191"/>
      <c r="AC11" s="1191"/>
      <c r="AD11" s="1191"/>
      <c r="AE11" s="1191"/>
      <c r="AF11" s="1191"/>
      <c r="AG11" s="1191"/>
      <c r="AH11" s="1191"/>
      <c r="AI11" s="1191"/>
      <c r="AJ11" s="1191"/>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05" t="s">
        <v>601</v>
      </c>
      <c r="C13" s="2105"/>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13"/>
      <c r="AH13" s="2113"/>
      <c r="AI13" s="2113"/>
      <c r="AJ13" s="211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05" t="s">
        <v>601</v>
      </c>
      <c r="C16" s="2105"/>
      <c r="D16" s="582"/>
      <c r="E16" s="2097" t="s">
        <v>1481</v>
      </c>
      <c r="F16" s="2098"/>
      <c r="G16" s="2098"/>
      <c r="H16" s="2098"/>
      <c r="I16" s="2098"/>
      <c r="J16" s="2098"/>
      <c r="K16" s="209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9"/>
      <c r="AK16" s="575"/>
      <c r="AL16" s="575"/>
      <c r="AM16" s="575"/>
      <c r="AN16" s="570"/>
      <c r="AO16" s="585">
        <f>IF($B25="yes",20,0)</f>
        <v>0</v>
      </c>
      <c r="AP16" s="14"/>
    </row>
    <row r="17" spans="1:42" s="571" customFormat="1" ht="12.75" customHeight="1">
      <c r="A17" s="575"/>
      <c r="B17" s="575"/>
      <c r="C17" s="575"/>
      <c r="D17" s="586"/>
      <c r="E17" s="2100"/>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2"/>
      <c r="AK17" s="575"/>
      <c r="AL17" s="575"/>
      <c r="AM17" s="575"/>
      <c r="AN17" s="570"/>
      <c r="AO17" s="571">
        <f>IF(SUM(AO13:AO16)&gt;20,20,(SUM(AO13:AO16)))</f>
        <v>0</v>
      </c>
      <c r="AP17" s="571" t="s">
        <v>1482</v>
      </c>
    </row>
    <row r="18" spans="1:42" s="571" customFormat="1" ht="12.75" customHeight="1">
      <c r="A18" s="575"/>
      <c r="B18" s="575"/>
      <c r="C18" s="575"/>
      <c r="D18" s="586"/>
      <c r="E18" s="2100"/>
      <c r="F18" s="2101"/>
      <c r="G18" s="2101"/>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2"/>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21"/>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05" t="s">
        <v>601</v>
      </c>
      <c r="C22" s="2105"/>
      <c r="D22" s="582"/>
      <c r="E22" s="2115" t="s">
        <v>1484</v>
      </c>
      <c r="F22" s="2116"/>
      <c r="G22" s="2116"/>
      <c r="H22" s="2116"/>
      <c r="I22" s="2116"/>
      <c r="J22" s="2116"/>
      <c r="K22" s="2116"/>
      <c r="L22" s="2116"/>
      <c r="M22" s="2116"/>
      <c r="N22" s="2116"/>
      <c r="O22" s="2116"/>
      <c r="P22" s="2116"/>
      <c r="Q22" s="2116"/>
      <c r="R22" s="2116"/>
      <c r="S22" s="2116"/>
      <c r="T22" s="2116"/>
      <c r="U22" s="2116"/>
      <c r="V22" s="2116"/>
      <c r="W22" s="2116"/>
      <c r="X22" s="2116"/>
      <c r="Y22" s="2116"/>
      <c r="Z22" s="2116"/>
      <c r="AA22" s="2116"/>
      <c r="AB22" s="2116"/>
      <c r="AC22" s="2116"/>
      <c r="AD22" s="2116"/>
      <c r="AE22" s="2116"/>
      <c r="AF22" s="2116"/>
      <c r="AG22" s="2116"/>
      <c r="AH22" s="2116"/>
      <c r="AI22" s="2116"/>
      <c r="AJ22" s="2117"/>
      <c r="AK22" s="575"/>
      <c r="AL22" s="575"/>
      <c r="AM22" s="575"/>
      <c r="AN22" s="570"/>
      <c r="AO22" s="571">
        <f>IF(SUM(AO20:AO21)&gt;14,14,SUM(AO20:AO21))</f>
        <v>0</v>
      </c>
      <c r="AP22" s="571" t="s">
        <v>1482</v>
      </c>
    </row>
    <row r="23" spans="1:42" s="571" customFormat="1" ht="12.75" customHeight="1">
      <c r="A23" s="575"/>
      <c r="B23" s="575"/>
      <c r="C23" s="575"/>
      <c r="D23" s="585"/>
      <c r="E23" s="2118"/>
      <c r="F23" s="2119"/>
      <c r="G23" s="2119"/>
      <c r="H23" s="2119"/>
      <c r="I23" s="2119"/>
      <c r="J23" s="2119"/>
      <c r="K23" s="2119"/>
      <c r="L23" s="2119"/>
      <c r="M23" s="2119"/>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2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05" t="s">
        <v>601</v>
      </c>
      <c r="C25" s="2105"/>
      <c r="D25" s="582"/>
      <c r="E25" s="2033" t="s">
        <v>2428</v>
      </c>
      <c r="F25" s="2034"/>
      <c r="G25" s="2034"/>
      <c r="H25" s="2034"/>
      <c r="I25" s="2034"/>
      <c r="J25" s="2034"/>
      <c r="K25" s="2034"/>
      <c r="L25" s="2034"/>
      <c r="M25" s="2034"/>
      <c r="N25" s="2034"/>
      <c r="O25" s="2034"/>
      <c r="P25" s="2034"/>
      <c r="Q25" s="2034"/>
      <c r="R25" s="2034"/>
      <c r="S25" s="2034"/>
      <c r="T25" s="2034"/>
      <c r="U25" s="2034"/>
      <c r="V25" s="2034"/>
      <c r="W25" s="2034"/>
      <c r="X25" s="2034"/>
      <c r="Y25" s="2034"/>
      <c r="Z25" s="2034"/>
      <c r="AA25" s="2034"/>
      <c r="AB25" s="2034"/>
      <c r="AC25" s="2034"/>
      <c r="AD25" s="2034"/>
      <c r="AE25" s="2034"/>
      <c r="AF25" s="2034"/>
      <c r="AG25" s="2034"/>
      <c r="AH25" s="2034"/>
      <c r="AI25" s="2034"/>
      <c r="AJ25" s="2035"/>
      <c r="AK25" s="575"/>
      <c r="AL25" s="575"/>
      <c r="AM25" s="575"/>
      <c r="AN25" s="570"/>
      <c r="AO25" s="571">
        <f>IF(AO24&gt;6,6,AO24)</f>
        <v>0</v>
      </c>
      <c r="AP25" s="571" t="s">
        <v>1482</v>
      </c>
    </row>
    <row r="26" spans="1:42" s="571" customFormat="1" ht="12.75" customHeight="1">
      <c r="A26" s="575"/>
      <c r="B26" s="575"/>
      <c r="C26" s="575"/>
      <c r="D26" s="585"/>
      <c r="E26" s="2058"/>
      <c r="F26" s="2059"/>
      <c r="G26" s="2059"/>
      <c r="H26" s="2059"/>
      <c r="I26" s="2059"/>
      <c r="J26" s="2059"/>
      <c r="K26" s="2059"/>
      <c r="L26" s="2059"/>
      <c r="M26" s="2059"/>
      <c r="N26" s="2059"/>
      <c r="O26" s="2059"/>
      <c r="P26" s="2059"/>
      <c r="Q26" s="2059"/>
      <c r="R26" s="2059"/>
      <c r="S26" s="2059"/>
      <c r="T26" s="2059"/>
      <c r="U26" s="2059"/>
      <c r="V26" s="2059"/>
      <c r="W26" s="2059"/>
      <c r="X26" s="2059"/>
      <c r="Y26" s="2059"/>
      <c r="Z26" s="2059"/>
      <c r="AA26" s="2059"/>
      <c r="AB26" s="2059"/>
      <c r="AC26" s="2059"/>
      <c r="AD26" s="2059"/>
      <c r="AE26" s="2059"/>
      <c r="AF26" s="2059"/>
      <c r="AG26" s="2059"/>
      <c r="AH26" s="2059"/>
      <c r="AI26" s="2059"/>
      <c r="AJ26" s="206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2399</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105" t="s">
        <v>601</v>
      </c>
      <c r="C30" s="2105"/>
      <c r="D30" s="582"/>
      <c r="E30" s="2115" t="s">
        <v>2400</v>
      </c>
      <c r="F30" s="2116"/>
      <c r="G30" s="2116"/>
      <c r="H30" s="2116"/>
      <c r="I30" s="2116"/>
      <c r="J30" s="2116"/>
      <c r="K30" s="2116"/>
      <c r="L30" s="2116"/>
      <c r="M30" s="2116"/>
      <c r="N30" s="2116"/>
      <c r="O30" s="2116"/>
      <c r="P30" s="2116"/>
      <c r="Q30" s="2116"/>
      <c r="R30" s="2116"/>
      <c r="S30" s="2116"/>
      <c r="T30" s="2116"/>
      <c r="U30" s="2116"/>
      <c r="V30" s="2116"/>
      <c r="W30" s="2116"/>
      <c r="X30" s="2116"/>
      <c r="Y30" s="2116"/>
      <c r="Z30" s="2116"/>
      <c r="AA30" s="2116"/>
      <c r="AB30" s="2116"/>
      <c r="AC30" s="2116"/>
      <c r="AD30" s="2116"/>
      <c r="AE30" s="2116"/>
      <c r="AF30" s="2116"/>
      <c r="AG30" s="2116"/>
      <c r="AH30" s="2116"/>
      <c r="AI30" s="2116"/>
      <c r="AJ30" s="2117"/>
      <c r="AK30" s="575"/>
      <c r="AL30" s="575"/>
      <c r="AM30" s="575"/>
      <c r="AN30" s="570"/>
      <c r="AO30" s="585"/>
    </row>
    <row r="31" spans="1:42" s="571" customFormat="1" ht="12.75" customHeight="1">
      <c r="A31" s="575"/>
      <c r="B31" s="575"/>
      <c r="C31" s="575"/>
      <c r="E31" s="2118"/>
      <c r="F31" s="2119"/>
      <c r="G31" s="2119"/>
      <c r="H31" s="2119"/>
      <c r="I31" s="2119"/>
      <c r="J31" s="2119"/>
      <c r="K31" s="2119"/>
      <c r="L31" s="2119"/>
      <c r="M31" s="2119"/>
      <c r="N31" s="2119"/>
      <c r="O31" s="2119"/>
      <c r="P31" s="2119"/>
      <c r="Q31" s="2119"/>
      <c r="R31" s="2119"/>
      <c r="S31" s="2119"/>
      <c r="T31" s="2119"/>
      <c r="U31" s="2119"/>
      <c r="V31" s="2119"/>
      <c r="W31" s="2119"/>
      <c r="X31" s="2119"/>
      <c r="Y31" s="2119"/>
      <c r="Z31" s="2119"/>
      <c r="AA31" s="2119"/>
      <c r="AB31" s="2119"/>
      <c r="AC31" s="2119"/>
      <c r="AD31" s="2119"/>
      <c r="AE31" s="2119"/>
      <c r="AF31" s="2119"/>
      <c r="AG31" s="2119"/>
      <c r="AH31" s="2119"/>
      <c r="AI31" s="2119"/>
      <c r="AJ31" s="2120"/>
      <c r="AK31" s="575"/>
      <c r="AL31" s="575"/>
      <c r="AM31" s="575"/>
      <c r="AN31" s="570"/>
    </row>
    <row r="32" spans="1:42" s="571" customFormat="1" ht="12.75" customHeight="1">
      <c r="A32" s="575"/>
      <c r="B32" s="575"/>
      <c r="C32" s="575"/>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5"/>
      <c r="AL32" s="575"/>
      <c r="AM32" s="575"/>
      <c r="AN32" s="570"/>
    </row>
    <row r="33" spans="1:41" s="571" customFormat="1" ht="12.75" customHeight="1">
      <c r="A33" s="575"/>
      <c r="B33" s="2105" t="s">
        <v>601</v>
      </c>
      <c r="C33" s="2105"/>
      <c r="D33" s="582"/>
      <c r="E33" s="2033" t="s">
        <v>2401</v>
      </c>
      <c r="F33" s="2034"/>
      <c r="G33" s="2034"/>
      <c r="H33" s="2034"/>
      <c r="I33" s="2034"/>
      <c r="J33" s="2034"/>
      <c r="K33" s="2034"/>
      <c r="L33" s="2034"/>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5"/>
      <c r="AK33" s="575"/>
      <c r="AL33" s="575"/>
      <c r="AM33" s="575"/>
      <c r="AN33" s="570"/>
    </row>
    <row r="34" spans="1:41" s="571" customFormat="1" ht="12.75" customHeight="1">
      <c r="A34" s="575"/>
      <c r="B34" s="575"/>
      <c r="C34" s="575"/>
      <c r="E34" s="2036"/>
      <c r="F34" s="2037"/>
      <c r="G34" s="2037"/>
      <c r="H34" s="2037"/>
      <c r="I34" s="2037"/>
      <c r="J34" s="2037"/>
      <c r="K34" s="2037"/>
      <c r="L34" s="2037"/>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8"/>
      <c r="AK34" s="575"/>
      <c r="AL34" s="575"/>
      <c r="AM34" s="575"/>
      <c r="AN34" s="570"/>
    </row>
    <row r="35" spans="1:41" s="571" customFormat="1" ht="12.75" customHeight="1">
      <c r="A35" s="575"/>
      <c r="B35" s="575"/>
      <c r="C35" s="575"/>
      <c r="E35" s="2058"/>
      <c r="F35" s="2059"/>
      <c r="G35" s="2059"/>
      <c r="H35" s="2059"/>
      <c r="I35" s="2059"/>
      <c r="J35" s="2059"/>
      <c r="K35" s="2059"/>
      <c r="L35" s="2059"/>
      <c r="M35" s="2059"/>
      <c r="N35" s="2059"/>
      <c r="O35" s="2059"/>
      <c r="P35" s="2059"/>
      <c r="Q35" s="2059"/>
      <c r="R35" s="2059"/>
      <c r="S35" s="2059"/>
      <c r="T35" s="2059"/>
      <c r="U35" s="2059"/>
      <c r="V35" s="2059"/>
      <c r="W35" s="2059"/>
      <c r="X35" s="2059"/>
      <c r="Y35" s="2059"/>
      <c r="Z35" s="2059"/>
      <c r="AA35" s="2059"/>
      <c r="AB35" s="2059"/>
      <c r="AC35" s="2059"/>
      <c r="AD35" s="2059"/>
      <c r="AE35" s="2059"/>
      <c r="AF35" s="2059"/>
      <c r="AG35" s="2059"/>
      <c r="AH35" s="2059"/>
      <c r="AI35" s="2059"/>
      <c r="AJ35" s="206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2403</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2"/>
      <c r="D38" s="1192"/>
      <c r="E38" s="1192"/>
      <c r="F38" s="1192"/>
      <c r="G38" s="1192"/>
      <c r="H38" s="1192"/>
      <c r="I38" s="1192"/>
      <c r="J38" s="1192"/>
      <c r="K38" s="1192"/>
      <c r="L38" s="1192"/>
      <c r="M38" s="1192"/>
      <c r="N38" s="1192"/>
      <c r="O38" s="1192"/>
      <c r="P38" s="1192"/>
      <c r="Q38" s="1192"/>
      <c r="R38" s="1192"/>
      <c r="S38" s="1192"/>
      <c r="T38" s="1192"/>
      <c r="U38" s="1192"/>
      <c r="V38" s="1192"/>
      <c r="W38" s="1192"/>
      <c r="X38" s="1192"/>
      <c r="Y38" s="1192"/>
      <c r="Z38" s="1192"/>
      <c r="AA38" s="1192"/>
      <c r="AB38" s="1192"/>
      <c r="AC38" s="1192"/>
      <c r="AD38" s="1192"/>
      <c r="AE38" s="1192"/>
      <c r="AF38" s="1192"/>
      <c r="AG38" s="1192"/>
      <c r="AH38" s="1192"/>
      <c r="AI38" s="1192"/>
      <c r="AJ38" s="1192"/>
      <c r="AK38" s="1192"/>
      <c r="AL38" s="575"/>
      <c r="AM38" s="575"/>
      <c r="AN38" s="570"/>
    </row>
    <row r="39" spans="1:41" s="571" customFormat="1" ht="12.75" customHeight="1">
      <c r="A39" s="575"/>
      <c r="B39" s="2105" t="s">
        <v>601</v>
      </c>
      <c r="C39" s="2105"/>
      <c r="D39" s="1192"/>
      <c r="E39" s="2033" t="s">
        <v>2402</v>
      </c>
      <c r="F39" s="2034"/>
      <c r="G39" s="2034"/>
      <c r="H39" s="2034"/>
      <c r="I39" s="2034"/>
      <c r="J39" s="2034"/>
      <c r="K39" s="2034"/>
      <c r="L39" s="2034"/>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5"/>
      <c r="AK39" s="1192"/>
      <c r="AL39" s="575"/>
      <c r="AM39" s="575"/>
      <c r="AN39" s="570"/>
    </row>
    <row r="40" spans="1:41" s="571" customFormat="1" ht="12.75" customHeight="1">
      <c r="A40" s="575"/>
      <c r="B40" s="575"/>
      <c r="C40" s="575"/>
      <c r="E40" s="2036"/>
      <c r="F40" s="2037"/>
      <c r="G40" s="2037"/>
      <c r="H40" s="2037"/>
      <c r="I40" s="2037"/>
      <c r="J40" s="2037"/>
      <c r="K40" s="2037"/>
      <c r="L40" s="2037"/>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8"/>
      <c r="AK40" s="575"/>
      <c r="AL40" s="575"/>
      <c r="AM40" s="575"/>
      <c r="AN40" s="570"/>
    </row>
    <row r="41" spans="1:41" s="571" customFormat="1" ht="12.75" customHeight="1">
      <c r="A41" s="575"/>
      <c r="D41" s="582"/>
      <c r="E41" s="2058"/>
      <c r="F41" s="2059"/>
      <c r="G41" s="2059"/>
      <c r="H41" s="2059"/>
      <c r="I41" s="2059"/>
      <c r="J41" s="2059"/>
      <c r="K41" s="2059"/>
      <c r="L41" s="2059"/>
      <c r="M41" s="2059"/>
      <c r="N41" s="2059"/>
      <c r="O41" s="2059"/>
      <c r="P41" s="2059"/>
      <c r="Q41" s="2059"/>
      <c r="R41" s="2059"/>
      <c r="S41" s="2059"/>
      <c r="T41" s="2059"/>
      <c r="U41" s="2059"/>
      <c r="V41" s="2059"/>
      <c r="W41" s="2059"/>
      <c r="X41" s="2059"/>
      <c r="Y41" s="2059"/>
      <c r="Z41" s="2059"/>
      <c r="AA41" s="2059"/>
      <c r="AB41" s="2059"/>
      <c r="AC41" s="2059"/>
      <c r="AD41" s="2059"/>
      <c r="AE41" s="2059"/>
      <c r="AF41" s="2059"/>
      <c r="AG41" s="2059"/>
      <c r="AH41" s="2059"/>
      <c r="AI41" s="2059"/>
      <c r="AJ41" s="206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2405</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1" t="s">
        <v>2406</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05" t="s">
        <v>601</v>
      </c>
      <c r="C46" s="2105"/>
      <c r="D46" s="575"/>
      <c r="E46" s="2033" t="s">
        <v>2407</v>
      </c>
      <c r="F46" s="2034"/>
      <c r="G46" s="2034"/>
      <c r="H46" s="2034"/>
      <c r="I46" s="2034"/>
      <c r="J46" s="2034"/>
      <c r="K46" s="2034"/>
      <c r="L46" s="2034"/>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5"/>
      <c r="AK46" s="575"/>
      <c r="AL46" s="575"/>
      <c r="AM46" s="575"/>
      <c r="AN46" s="570"/>
      <c r="AO46" s="594"/>
    </row>
    <row r="47" spans="1:41" s="571" customFormat="1" ht="12.75" customHeight="1">
      <c r="A47" s="575"/>
      <c r="D47" s="582"/>
      <c r="E47" s="2036"/>
      <c r="F47" s="2037"/>
      <c r="G47" s="2037"/>
      <c r="H47" s="2037"/>
      <c r="I47" s="2037"/>
      <c r="J47" s="2037"/>
      <c r="K47" s="2037"/>
      <c r="L47" s="2037"/>
      <c r="M47" s="2037"/>
      <c r="N47" s="2037"/>
      <c r="O47" s="2037"/>
      <c r="P47" s="2037"/>
      <c r="Q47" s="2037"/>
      <c r="R47" s="2037"/>
      <c r="S47" s="2037"/>
      <c r="T47" s="2037"/>
      <c r="U47" s="2037"/>
      <c r="V47" s="2037"/>
      <c r="W47" s="2037"/>
      <c r="X47" s="2037"/>
      <c r="Y47" s="2037"/>
      <c r="Z47" s="2037"/>
      <c r="AA47" s="2037"/>
      <c r="AB47" s="2037"/>
      <c r="AC47" s="2037"/>
      <c r="AD47" s="2037"/>
      <c r="AE47" s="2037"/>
      <c r="AF47" s="2037"/>
      <c r="AG47" s="2037"/>
      <c r="AH47" s="2037"/>
      <c r="AI47" s="2037"/>
      <c r="AJ47" s="2038"/>
      <c r="AK47" s="575"/>
      <c r="AL47" s="575"/>
      <c r="AM47" s="575"/>
      <c r="AN47" s="570"/>
      <c r="AO47" s="594"/>
    </row>
    <row r="48" spans="1:41" s="571" customFormat="1" ht="12.75" customHeight="1">
      <c r="A48" s="575"/>
      <c r="D48" s="575"/>
      <c r="E48" s="2058"/>
      <c r="F48" s="2059"/>
      <c r="G48" s="2059"/>
      <c r="H48" s="2059"/>
      <c r="I48" s="2059"/>
      <c r="J48" s="2059"/>
      <c r="K48" s="2059"/>
      <c r="L48" s="2059"/>
      <c r="M48" s="2059"/>
      <c r="N48" s="2059"/>
      <c r="O48" s="2059"/>
      <c r="P48" s="2059"/>
      <c r="Q48" s="2059"/>
      <c r="R48" s="2059"/>
      <c r="S48" s="2059"/>
      <c r="T48" s="2059"/>
      <c r="U48" s="2059"/>
      <c r="V48" s="2059"/>
      <c r="W48" s="2059"/>
      <c r="X48" s="2059"/>
      <c r="Y48" s="2059"/>
      <c r="Z48" s="2059"/>
      <c r="AA48" s="2059"/>
      <c r="AB48" s="2059"/>
      <c r="AC48" s="2059"/>
      <c r="AD48" s="2059"/>
      <c r="AE48" s="2059"/>
      <c r="AF48" s="2059"/>
      <c r="AG48" s="2059"/>
      <c r="AH48" s="2059"/>
      <c r="AI48" s="2059"/>
      <c r="AJ48" s="206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05" t="s">
        <v>601</v>
      </c>
      <c r="C50" s="2105"/>
      <c r="D50" s="575"/>
      <c r="E50" s="2131" t="s">
        <v>2408</v>
      </c>
      <c r="F50" s="2132"/>
      <c r="G50" s="2132"/>
      <c r="H50" s="2132"/>
      <c r="I50" s="2132"/>
      <c r="J50" s="2132"/>
      <c r="K50" s="2132"/>
      <c r="L50" s="213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05" t="s">
        <v>601</v>
      </c>
      <c r="C52" s="2105"/>
      <c r="D52" s="575"/>
      <c r="E52" s="2033" t="s">
        <v>2409</v>
      </c>
      <c r="F52" s="2034"/>
      <c r="G52" s="2034"/>
      <c r="H52" s="2034"/>
      <c r="I52" s="2034"/>
      <c r="J52" s="2034"/>
      <c r="K52" s="2034"/>
      <c r="L52" s="2034"/>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5"/>
      <c r="AK52" s="575"/>
      <c r="AL52" s="575"/>
      <c r="AM52" s="575"/>
      <c r="AN52" s="570"/>
    </row>
    <row r="53" spans="1:50" s="571" customFormat="1" ht="12.75" customHeight="1">
      <c r="A53" s="575"/>
      <c r="B53" s="582"/>
      <c r="C53" s="582"/>
      <c r="D53" s="582"/>
      <c r="E53" s="2058"/>
      <c r="F53" s="2059"/>
      <c r="G53" s="2059"/>
      <c r="H53" s="2059"/>
      <c r="I53" s="2059"/>
      <c r="J53" s="2059"/>
      <c r="K53" s="2059"/>
      <c r="L53" s="2059"/>
      <c r="M53" s="2059"/>
      <c r="N53" s="2059"/>
      <c r="O53" s="2059"/>
      <c r="P53" s="2059"/>
      <c r="Q53" s="2059"/>
      <c r="R53" s="2059"/>
      <c r="S53" s="2059"/>
      <c r="T53" s="2059"/>
      <c r="U53" s="2059"/>
      <c r="V53" s="2059"/>
      <c r="W53" s="2059"/>
      <c r="X53" s="2059"/>
      <c r="Y53" s="2059"/>
      <c r="Z53" s="2059"/>
      <c r="AA53" s="2059"/>
      <c r="AB53" s="2059"/>
      <c r="AC53" s="2059"/>
      <c r="AD53" s="2059"/>
      <c r="AE53" s="2059"/>
      <c r="AF53" s="2059"/>
      <c r="AG53" s="2059"/>
      <c r="AH53" s="2059"/>
      <c r="AI53" s="2059"/>
      <c r="AJ53" s="206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79">
        <f>AO36</f>
        <v>0</v>
      </c>
      <c r="AL56" s="2080"/>
      <c r="AM56" s="208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27" t="s">
        <v>1488</v>
      </c>
      <c r="AF59" s="1927"/>
      <c r="AG59" s="1927"/>
      <c r="AH59" s="1927"/>
      <c r="AI59" s="1927"/>
      <c r="AJ59" s="1927"/>
      <c r="AK59" s="1927"/>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05" t="s">
        <v>601</v>
      </c>
      <c r="C62" s="2105"/>
      <c r="D62" s="582" t="s">
        <v>1489</v>
      </c>
      <c r="E62" s="2097" t="s">
        <v>2410</v>
      </c>
      <c r="F62" s="2098"/>
      <c r="G62" s="2098"/>
      <c r="H62" s="2098"/>
      <c r="I62" s="2098"/>
      <c r="J62" s="2098"/>
      <c r="K62" s="2098"/>
      <c r="L62" s="2098"/>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9"/>
      <c r="AK62" s="578"/>
      <c r="AL62" s="575"/>
      <c r="AM62" s="575"/>
      <c r="AN62" s="570"/>
      <c r="AO62" s="585">
        <f>IF($B62="yes",10,0)</f>
        <v>0</v>
      </c>
    </row>
    <row r="63" spans="1:50" s="571" customFormat="1" ht="12.75" customHeight="1">
      <c r="A63" s="573"/>
      <c r="B63" s="575"/>
      <c r="C63" s="575"/>
      <c r="D63" s="586"/>
      <c r="E63" s="2100"/>
      <c r="F63" s="2101"/>
      <c r="G63" s="2101"/>
      <c r="H63" s="2101"/>
      <c r="I63" s="2101"/>
      <c r="J63" s="2101"/>
      <c r="K63" s="2101"/>
      <c r="L63" s="2101"/>
      <c r="M63" s="2101"/>
      <c r="N63" s="2101"/>
      <c r="O63" s="2101"/>
      <c r="P63" s="2101"/>
      <c r="Q63" s="2101"/>
      <c r="R63" s="2101"/>
      <c r="S63" s="2101"/>
      <c r="T63" s="2101"/>
      <c r="U63" s="2101"/>
      <c r="V63" s="2101"/>
      <c r="W63" s="2101"/>
      <c r="X63" s="2101"/>
      <c r="Y63" s="2101"/>
      <c r="Z63" s="2101"/>
      <c r="AA63" s="2101"/>
      <c r="AB63" s="2101"/>
      <c r="AC63" s="2101"/>
      <c r="AD63" s="2101"/>
      <c r="AE63" s="2101"/>
      <c r="AF63" s="2101"/>
      <c r="AG63" s="2101"/>
      <c r="AH63" s="2101"/>
      <c r="AI63" s="2101"/>
      <c r="AJ63" s="2102"/>
      <c r="AK63" s="578"/>
      <c r="AL63" s="575"/>
      <c r="AM63" s="575"/>
      <c r="AN63" s="570"/>
      <c r="AO63" s="585">
        <f>IF($B68="yes",10,0)</f>
        <v>10</v>
      </c>
    </row>
    <row r="64" spans="1:50" s="571" customFormat="1" ht="12.75" customHeight="1">
      <c r="A64" s="573"/>
      <c r="B64" s="575"/>
      <c r="C64" s="575"/>
      <c r="D64" s="586"/>
      <c r="E64" s="2100"/>
      <c r="F64" s="2101"/>
      <c r="G64" s="2101"/>
      <c r="H64" s="2101"/>
      <c r="I64" s="2101"/>
      <c r="J64" s="2101"/>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2"/>
      <c r="AK64" s="578"/>
      <c r="AL64" s="575"/>
      <c r="AM64" s="575"/>
      <c r="AN64" s="570"/>
      <c r="AO64" s="585">
        <f>IF($B75="yes",10,0)</f>
        <v>0</v>
      </c>
    </row>
    <row r="65" spans="1:42" s="571" customFormat="1" ht="12.75" customHeight="1">
      <c r="A65" s="573"/>
      <c r="B65" s="575"/>
      <c r="C65" s="575"/>
      <c r="D65" s="586"/>
      <c r="E65" s="2100"/>
      <c r="F65" s="2101"/>
      <c r="G65" s="2101"/>
      <c r="H65" s="2101"/>
      <c r="I65" s="2101"/>
      <c r="J65" s="2101"/>
      <c r="K65" s="2101"/>
      <c r="L65" s="2101"/>
      <c r="M65" s="2101"/>
      <c r="N65" s="2101"/>
      <c r="O65" s="2101"/>
      <c r="P65" s="2101"/>
      <c r="Q65" s="2101"/>
      <c r="R65" s="2101"/>
      <c r="S65" s="2101"/>
      <c r="T65" s="2101"/>
      <c r="U65" s="2101"/>
      <c r="V65" s="2101"/>
      <c r="W65" s="2101"/>
      <c r="X65" s="2101"/>
      <c r="Y65" s="2101"/>
      <c r="Z65" s="2101"/>
      <c r="AA65" s="2101"/>
      <c r="AB65" s="2101"/>
      <c r="AC65" s="2101"/>
      <c r="AD65" s="2101"/>
      <c r="AE65" s="2101"/>
      <c r="AF65" s="2101"/>
      <c r="AG65" s="2101"/>
      <c r="AH65" s="2101"/>
      <c r="AI65" s="2101"/>
      <c r="AJ65" s="2102"/>
      <c r="AK65" s="578"/>
      <c r="AL65" s="575"/>
      <c r="AM65" s="575"/>
      <c r="AN65" s="570"/>
      <c r="AO65" s="571">
        <f>IF(SUM(AO62:AO64)&gt;10,10,(SUM(AO62:AO64)))</f>
        <v>10</v>
      </c>
      <c r="AP65" s="609" t="s">
        <v>1490</v>
      </c>
    </row>
    <row r="66" spans="1:42" s="571" customFormat="1" ht="12.75" customHeight="1">
      <c r="A66" s="573"/>
      <c r="B66" s="575"/>
      <c r="C66" s="575"/>
      <c r="D66" s="586"/>
      <c r="E66" s="2127"/>
      <c r="F66" s="2128"/>
      <c r="G66" s="2128"/>
      <c r="H66" s="2128"/>
      <c r="I66" s="2128"/>
      <c r="J66" s="2128"/>
      <c r="K66" s="2128"/>
      <c r="L66" s="2128"/>
      <c r="M66" s="2128"/>
      <c r="N66" s="2128"/>
      <c r="O66" s="2128"/>
      <c r="P66" s="2128"/>
      <c r="Q66" s="2128"/>
      <c r="R66" s="2128"/>
      <c r="S66" s="2128"/>
      <c r="T66" s="2128"/>
      <c r="U66" s="2128"/>
      <c r="V66" s="2128"/>
      <c r="W66" s="2128"/>
      <c r="X66" s="2128"/>
      <c r="Y66" s="2128"/>
      <c r="Z66" s="2128"/>
      <c r="AA66" s="2128"/>
      <c r="AB66" s="2128"/>
      <c r="AC66" s="2128"/>
      <c r="AD66" s="2128"/>
      <c r="AE66" s="2128"/>
      <c r="AF66" s="2128"/>
      <c r="AG66" s="2128"/>
      <c r="AH66" s="2128"/>
      <c r="AI66" s="2128"/>
      <c r="AJ66" s="212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05" t="s">
        <v>555</v>
      </c>
      <c r="C68" s="2105"/>
      <c r="D68" s="582" t="s">
        <v>1491</v>
      </c>
      <c r="E68" s="1005" t="s">
        <v>1986</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8"/>
      <c r="AL68" s="575"/>
      <c r="AM68" s="575"/>
      <c r="AN68" s="570"/>
    </row>
    <row r="69" spans="1:42" s="571" customFormat="1" ht="12.75" customHeight="1">
      <c r="A69" s="573"/>
      <c r="B69" s="575"/>
      <c r="C69" s="575"/>
      <c r="D69" s="585"/>
      <c r="E69" s="2130" t="s">
        <v>601</v>
      </c>
      <c r="F69" s="2105"/>
      <c r="G69" s="610"/>
      <c r="H69" s="593" t="s">
        <v>1492</v>
      </c>
      <c r="I69" s="942"/>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08"/>
      <c r="AK69" s="578"/>
      <c r="AL69" s="575"/>
      <c r="AM69" s="575"/>
      <c r="AN69" s="570"/>
    </row>
    <row r="70" spans="1:42" s="571" customFormat="1" ht="12.75" customHeight="1">
      <c r="A70" s="573"/>
      <c r="B70" s="575"/>
      <c r="C70" s="575"/>
      <c r="D70" s="585"/>
      <c r="E70" s="2125" t="s">
        <v>601</v>
      </c>
      <c r="F70" s="2126"/>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08"/>
      <c r="AK70" s="578"/>
      <c r="AL70" s="575"/>
      <c r="AM70" s="575"/>
      <c r="AN70" s="570"/>
    </row>
    <row r="71" spans="1:42" s="571" customFormat="1" ht="12.75" customHeight="1">
      <c r="A71" s="573"/>
      <c r="B71" s="575"/>
      <c r="C71" s="575"/>
      <c r="D71" s="585"/>
      <c r="E71" s="2125" t="s">
        <v>601</v>
      </c>
      <c r="F71" s="2126"/>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08"/>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08"/>
      <c r="AK72" s="578"/>
      <c r="AL72" s="575"/>
      <c r="AM72" s="575"/>
      <c r="AN72" s="570"/>
    </row>
    <row r="73" spans="1:42" s="571" customFormat="1" ht="12.75" customHeight="1">
      <c r="A73" s="573"/>
      <c r="B73" s="575"/>
      <c r="C73" s="575"/>
      <c r="D73" s="585"/>
      <c r="E73" s="2130" t="s">
        <v>555</v>
      </c>
      <c r="F73" s="2105"/>
      <c r="G73" s="940"/>
      <c r="H73" s="1010" t="s">
        <v>2000</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05" t="s">
        <v>601</v>
      </c>
      <c r="C75" s="2105"/>
      <c r="D75" s="582" t="s">
        <v>1494</v>
      </c>
      <c r="E75" s="2033" t="s">
        <v>2002</v>
      </c>
      <c r="F75" s="2034"/>
      <c r="G75" s="2034"/>
      <c r="H75" s="2034"/>
      <c r="I75" s="2034"/>
      <c r="J75" s="2034"/>
      <c r="K75" s="2034"/>
      <c r="L75" s="2034"/>
      <c r="M75" s="2034"/>
      <c r="N75" s="2034"/>
      <c r="O75" s="2034"/>
      <c r="P75" s="2034"/>
      <c r="Q75" s="2034"/>
      <c r="R75" s="2034"/>
      <c r="S75" s="2034"/>
      <c r="T75" s="2034"/>
      <c r="U75" s="2034"/>
      <c r="V75" s="2034"/>
      <c r="W75" s="2034"/>
      <c r="X75" s="2034"/>
      <c r="Y75" s="2034"/>
      <c r="Z75" s="2034"/>
      <c r="AA75" s="2034"/>
      <c r="AB75" s="2034"/>
      <c r="AC75" s="2034"/>
      <c r="AD75" s="2034"/>
      <c r="AE75" s="2034"/>
      <c r="AF75" s="2034"/>
      <c r="AG75" s="2034"/>
      <c r="AH75" s="2034"/>
      <c r="AI75" s="2034"/>
      <c r="AJ75" s="2035"/>
      <c r="AK75" s="578"/>
      <c r="AL75" s="575"/>
      <c r="AM75" s="575"/>
      <c r="AN75" s="570"/>
    </row>
    <row r="76" spans="1:42" s="571" customFormat="1" ht="12.75" customHeight="1">
      <c r="A76" s="573"/>
      <c r="B76" s="575"/>
      <c r="C76" s="575"/>
      <c r="D76" s="585"/>
      <c r="E76" s="2058"/>
      <c r="F76" s="2059"/>
      <c r="G76" s="2059"/>
      <c r="H76" s="2059"/>
      <c r="I76" s="2059"/>
      <c r="J76" s="2059"/>
      <c r="K76" s="2059"/>
      <c r="L76" s="2059"/>
      <c r="M76" s="2059"/>
      <c r="N76" s="2059"/>
      <c r="O76" s="2059"/>
      <c r="P76" s="2059"/>
      <c r="Q76" s="2059"/>
      <c r="R76" s="2059"/>
      <c r="S76" s="2059"/>
      <c r="T76" s="2059"/>
      <c r="U76" s="2059"/>
      <c r="V76" s="2059"/>
      <c r="W76" s="2059"/>
      <c r="X76" s="2059"/>
      <c r="Y76" s="2059"/>
      <c r="Z76" s="2059"/>
      <c r="AA76" s="2059"/>
      <c r="AB76" s="2059"/>
      <c r="AC76" s="2059"/>
      <c r="AD76" s="2059"/>
      <c r="AE76" s="2059"/>
      <c r="AF76" s="2059"/>
      <c r="AG76" s="2059"/>
      <c r="AH76" s="2059"/>
      <c r="AI76" s="2059"/>
      <c r="AJ76" s="206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79">
        <f>IF(AK56&gt;0,0,AO65)</f>
        <v>10</v>
      </c>
      <c r="AL78" s="2080"/>
      <c r="AM78" s="208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27" t="s">
        <v>1479</v>
      </c>
      <c r="AF81" s="1927"/>
      <c r="AG81" s="1927"/>
      <c r="AH81" s="1927"/>
      <c r="AI81" s="1927"/>
      <c r="AJ81" s="1927"/>
      <c r="AK81" s="1927"/>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05" t="s">
        <v>601</v>
      </c>
      <c r="C84" s="2105"/>
      <c r="D84" s="582" t="s">
        <v>1489</v>
      </c>
      <c r="E84" s="2097" t="s">
        <v>1499</v>
      </c>
      <c r="F84" s="2098"/>
      <c r="G84" s="2098"/>
      <c r="H84" s="2098"/>
      <c r="I84" s="2098"/>
      <c r="J84" s="2098"/>
      <c r="K84" s="2098"/>
      <c r="L84" s="2098"/>
      <c r="M84" s="2098"/>
      <c r="N84" s="2098"/>
      <c r="O84" s="2098"/>
      <c r="P84" s="2098"/>
      <c r="Q84" s="2098"/>
      <c r="R84" s="2098"/>
      <c r="S84" s="2098"/>
      <c r="T84" s="2098"/>
      <c r="U84" s="2098"/>
      <c r="V84" s="2098"/>
      <c r="W84" s="2098"/>
      <c r="X84" s="2098"/>
      <c r="Y84" s="2098"/>
      <c r="Z84" s="2098"/>
      <c r="AA84" s="2098"/>
      <c r="AB84" s="2098"/>
      <c r="AC84" s="2098"/>
      <c r="AD84" s="2098"/>
      <c r="AE84" s="2098"/>
      <c r="AF84" s="2098"/>
      <c r="AG84" s="2098"/>
      <c r="AH84" s="2098"/>
      <c r="AI84" s="2098"/>
      <c r="AJ84" s="2099"/>
      <c r="AK84" s="578"/>
      <c r="AL84" s="575"/>
      <c r="AM84" s="575"/>
      <c r="AN84" s="570"/>
    </row>
    <row r="85" spans="1:43" s="571" customFormat="1" ht="12.75" customHeight="1">
      <c r="A85" s="573"/>
      <c r="B85" s="574"/>
      <c r="C85" s="574"/>
      <c r="D85" s="574"/>
      <c r="E85" s="2100"/>
      <c r="F85" s="2101"/>
      <c r="G85" s="2101"/>
      <c r="H85" s="2101"/>
      <c r="I85" s="2101"/>
      <c r="J85" s="2101"/>
      <c r="K85" s="2101"/>
      <c r="L85" s="2101"/>
      <c r="M85" s="2101"/>
      <c r="N85" s="2101"/>
      <c r="O85" s="2101"/>
      <c r="P85" s="2101"/>
      <c r="Q85" s="2101"/>
      <c r="R85" s="2101"/>
      <c r="S85" s="2101"/>
      <c r="T85" s="2101"/>
      <c r="U85" s="2101"/>
      <c r="V85" s="2101"/>
      <c r="W85" s="2101"/>
      <c r="X85" s="2101"/>
      <c r="Y85" s="2101"/>
      <c r="Z85" s="2101"/>
      <c r="AA85" s="2101"/>
      <c r="AB85" s="2101"/>
      <c r="AC85" s="2101"/>
      <c r="AD85" s="2101"/>
      <c r="AE85" s="2101"/>
      <c r="AF85" s="2101"/>
      <c r="AG85" s="2101"/>
      <c r="AH85" s="2101"/>
      <c r="AI85" s="2101"/>
      <c r="AJ85" s="2102"/>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93">
        <f>Application!AC739</f>
        <v>0.59897435897435891</v>
      </c>
      <c r="F87" s="2094"/>
      <c r="G87" s="2094"/>
      <c r="H87" s="2094"/>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24">
        <f>0.6-ROUNDUP(E87,2)</f>
        <v>0</v>
      </c>
      <c r="F88" s="1901"/>
      <c r="G88" s="1901"/>
      <c r="H88" s="1901"/>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09">
        <f>IF(E88*200&gt;20,20,E88*200)</f>
        <v>0</v>
      </c>
      <c r="F89" s="2110"/>
      <c r="G89" s="2110"/>
      <c r="H89" s="2110"/>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05" t="s">
        <v>555</v>
      </c>
      <c r="C92" s="2105"/>
      <c r="D92" s="582" t="s">
        <v>1491</v>
      </c>
      <c r="E92" s="2097" t="s">
        <v>1987</v>
      </c>
      <c r="F92" s="2098"/>
      <c r="G92" s="2098"/>
      <c r="H92" s="2098"/>
      <c r="I92" s="2098"/>
      <c r="J92" s="2098"/>
      <c r="K92" s="2098"/>
      <c r="L92" s="2098"/>
      <c r="M92" s="2098"/>
      <c r="N92" s="2098"/>
      <c r="O92" s="2098"/>
      <c r="P92" s="2098"/>
      <c r="Q92" s="2098"/>
      <c r="R92" s="2098"/>
      <c r="S92" s="2098"/>
      <c r="T92" s="2098"/>
      <c r="U92" s="2098"/>
      <c r="V92" s="2098"/>
      <c r="W92" s="2098"/>
      <c r="X92" s="2098"/>
      <c r="Y92" s="2098"/>
      <c r="Z92" s="2098"/>
      <c r="AA92" s="2098"/>
      <c r="AB92" s="2098"/>
      <c r="AC92" s="2098"/>
      <c r="AD92" s="2098"/>
      <c r="AE92" s="2098"/>
      <c r="AF92" s="2098"/>
      <c r="AG92" s="2098"/>
      <c r="AH92" s="2098"/>
      <c r="AI92" s="2098"/>
      <c r="AJ92" s="2099"/>
      <c r="AK92" s="578"/>
      <c r="AL92" s="575"/>
      <c r="AM92" s="575"/>
      <c r="AN92" s="570"/>
    </row>
    <row r="93" spans="1:43" s="571" customFormat="1" ht="12.75" customHeight="1">
      <c r="A93" s="573"/>
      <c r="B93" s="574"/>
      <c r="C93" s="574"/>
      <c r="D93" s="574"/>
      <c r="E93" s="2100"/>
      <c r="F93" s="2101"/>
      <c r="G93" s="2101"/>
      <c r="H93" s="2101"/>
      <c r="I93" s="2101"/>
      <c r="J93" s="2101"/>
      <c r="K93" s="2101"/>
      <c r="L93" s="2101"/>
      <c r="M93" s="2101"/>
      <c r="N93" s="2101"/>
      <c r="O93" s="2101"/>
      <c r="P93" s="2101"/>
      <c r="Q93" s="2101"/>
      <c r="R93" s="2101"/>
      <c r="S93" s="2101"/>
      <c r="T93" s="2101"/>
      <c r="U93" s="2101"/>
      <c r="V93" s="2101"/>
      <c r="W93" s="2101"/>
      <c r="X93" s="2101"/>
      <c r="Y93" s="2101"/>
      <c r="Z93" s="2101"/>
      <c r="AA93" s="2101"/>
      <c r="AB93" s="2101"/>
      <c r="AC93" s="2101"/>
      <c r="AD93" s="2101"/>
      <c r="AE93" s="2101"/>
      <c r="AF93" s="2101"/>
      <c r="AG93" s="2101"/>
      <c r="AH93" s="2101"/>
      <c r="AI93" s="2101"/>
      <c r="AJ93" s="2102"/>
      <c r="AK93" s="578"/>
      <c r="AL93" s="575"/>
      <c r="AM93" s="575"/>
      <c r="AN93" s="570"/>
    </row>
    <row r="94" spans="1:43" s="571" customFormat="1" ht="12.75" customHeight="1">
      <c r="A94" s="573"/>
      <c r="B94" s="574"/>
      <c r="C94" s="574"/>
      <c r="D94" s="574"/>
      <c r="E94" s="2100"/>
      <c r="F94" s="2101"/>
      <c r="G94" s="2101"/>
      <c r="H94" s="2101"/>
      <c r="I94" s="2101"/>
      <c r="J94" s="2101"/>
      <c r="K94" s="2101"/>
      <c r="L94" s="2101"/>
      <c r="M94" s="2101"/>
      <c r="N94" s="2101"/>
      <c r="O94" s="2101"/>
      <c r="P94" s="2101"/>
      <c r="Q94" s="2101"/>
      <c r="R94" s="2101"/>
      <c r="S94" s="2101"/>
      <c r="T94" s="2101"/>
      <c r="U94" s="2101"/>
      <c r="V94" s="2101"/>
      <c r="W94" s="2101"/>
      <c r="X94" s="2101"/>
      <c r="Y94" s="2101"/>
      <c r="Z94" s="2101"/>
      <c r="AA94" s="2101"/>
      <c r="AB94" s="2101"/>
      <c r="AC94" s="2101"/>
      <c r="AD94" s="2101"/>
      <c r="AE94" s="2101"/>
      <c r="AF94" s="2101"/>
      <c r="AG94" s="2101"/>
      <c r="AH94" s="2101"/>
      <c r="AI94" s="2101"/>
      <c r="AJ94" s="2102"/>
      <c r="AK94" s="578"/>
      <c r="AL94" s="575"/>
      <c r="AM94" s="575"/>
      <c r="AN94" s="570"/>
    </row>
    <row r="95" spans="1:43" s="571" customFormat="1" ht="12.75" customHeight="1">
      <c r="A95" s="573"/>
      <c r="B95" s="574"/>
      <c r="C95" s="574"/>
      <c r="D95" s="574"/>
      <c r="E95" s="2100"/>
      <c r="F95" s="2101"/>
      <c r="G95" s="2101"/>
      <c r="H95" s="2101"/>
      <c r="I95" s="2101"/>
      <c r="J95" s="2101"/>
      <c r="K95" s="2101"/>
      <c r="L95" s="2101"/>
      <c r="M95" s="2101"/>
      <c r="N95" s="2101"/>
      <c r="O95" s="2101"/>
      <c r="P95" s="2101"/>
      <c r="Q95" s="2101"/>
      <c r="R95" s="2101"/>
      <c r="S95" s="2101"/>
      <c r="T95" s="2101"/>
      <c r="U95" s="2101"/>
      <c r="V95" s="2101"/>
      <c r="W95" s="2101"/>
      <c r="X95" s="2101"/>
      <c r="Y95" s="2101"/>
      <c r="Z95" s="2101"/>
      <c r="AA95" s="2101"/>
      <c r="AB95" s="2101"/>
      <c r="AC95" s="2101"/>
      <c r="AD95" s="2101"/>
      <c r="AE95" s="2101"/>
      <c r="AF95" s="2101"/>
      <c r="AG95" s="2101"/>
      <c r="AH95" s="2101"/>
      <c r="AI95" s="2101"/>
      <c r="AJ95" s="2102"/>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93">
        <f>Application!AC739</f>
        <v>0.59897435897435891</v>
      </c>
      <c r="F97" s="2094"/>
      <c r="G97" s="2094"/>
      <c r="H97" s="2094"/>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93">
        <f ca="1">SUMIF(Application!AC714:AG738,0.2,Application!G714:J738)/Application!G739+SUMIF(Application!AC714:AG738,0.25,Application!G714:J738)/Application!G739+SUMIF(Application!AC714:AG738,0.3,Application!G714:J738)/Application!G739</f>
        <v>0.10256410256410256</v>
      </c>
      <c r="F98" s="2094"/>
      <c r="G98" s="2094"/>
      <c r="H98" s="2094"/>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93">
        <f ca="1">SUMIF(Application!AC714:AG738,0.35,Application!G714:J738)/Application!G739+SUMIF(Application!AC714:AG738,0.4,Application!G714:J738)/Application!G739+SUMIF(Application!AC714:AG738,0.45,Application!G714:J738)/Application!G739+SUMIF(Application!AC714:AG738,0.5,Application!G714:J738)/Application!G739</f>
        <v>0.14871794871794872</v>
      </c>
      <c r="F99" s="2094"/>
      <c r="G99" s="2094"/>
      <c r="H99" s="2094"/>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91">
        <f ca="1">IF(AND(E97&lt;=0.6,E98&gt;=0.1,OR(E99&gt;=0.1,E98&gt;=0.2)),20,0)</f>
        <v>20</v>
      </c>
      <c r="F100" s="2092"/>
      <c r="G100" s="2092"/>
      <c r="H100" s="2092"/>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79">
        <f ca="1">MAX(AP89,AP100)</f>
        <v>20</v>
      </c>
      <c r="AL103" s="2080"/>
      <c r="AM103" s="208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27" t="s">
        <v>1488</v>
      </c>
      <c r="AF106" s="1927"/>
      <c r="AG106" s="1927"/>
      <c r="AH106" s="1927"/>
      <c r="AI106" s="1927"/>
      <c r="AJ106" s="1927"/>
      <c r="AK106" s="1927"/>
      <c r="AL106" s="575"/>
      <c r="AM106" s="575"/>
      <c r="AN106" s="570"/>
      <c r="AO106" s="571" t="str">
        <f>Application!B714</f>
        <v>1 Bedroom</v>
      </c>
      <c r="AQ106" s="571">
        <f>Application!O714</f>
        <v>500</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946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1170</v>
      </c>
    </row>
    <row r="109" spans="1:49" s="571" customFormat="1" ht="12.75" customHeight="1">
      <c r="A109" s="575"/>
      <c r="B109" s="2105" t="s">
        <v>555</v>
      </c>
      <c r="C109" s="2105"/>
      <c r="D109" s="582" t="s">
        <v>1489</v>
      </c>
      <c r="E109" s="2097" t="s">
        <v>2122</v>
      </c>
      <c r="F109" s="2098"/>
      <c r="G109" s="2098"/>
      <c r="H109" s="2098"/>
      <c r="I109" s="2098"/>
      <c r="J109" s="2098"/>
      <c r="K109" s="2098"/>
      <c r="L109" s="2098"/>
      <c r="M109" s="2098"/>
      <c r="N109" s="2098"/>
      <c r="O109" s="2098"/>
      <c r="P109" s="2098"/>
      <c r="Q109" s="2098"/>
      <c r="R109" s="2098"/>
      <c r="S109" s="2098"/>
      <c r="T109" s="2098"/>
      <c r="U109" s="2098"/>
      <c r="V109" s="2098"/>
      <c r="W109" s="2098"/>
      <c r="X109" s="2098"/>
      <c r="Y109" s="2098"/>
      <c r="Z109" s="2098"/>
      <c r="AA109" s="2098"/>
      <c r="AB109" s="2098"/>
      <c r="AC109" s="2098"/>
      <c r="AD109" s="2098"/>
      <c r="AE109" s="2098"/>
      <c r="AF109" s="2098"/>
      <c r="AG109" s="2098"/>
      <c r="AH109" s="2098"/>
      <c r="AI109" s="2098"/>
      <c r="AJ109" s="2099"/>
      <c r="AK109" s="575"/>
      <c r="AL109" s="575"/>
      <c r="AM109" s="575"/>
      <c r="AN109" s="570"/>
      <c r="AO109" s="571" t="str">
        <f>Application!B717</f>
        <v>1 Bedroom</v>
      </c>
      <c r="AQ109" s="571">
        <f>Application!O717</f>
        <v>1393</v>
      </c>
      <c r="AU109" s="571" t="s">
        <v>2104</v>
      </c>
      <c r="AV109" s="630" t="s">
        <v>2105</v>
      </c>
      <c r="AW109" s="571" t="s">
        <v>2106</v>
      </c>
    </row>
    <row r="110" spans="1:49" s="571" customFormat="1" ht="12.75" customHeight="1">
      <c r="A110" s="575"/>
      <c r="B110" s="574"/>
      <c r="C110" s="574"/>
      <c r="D110" s="574"/>
      <c r="E110" s="2100"/>
      <c r="F110" s="2101"/>
      <c r="G110" s="2101"/>
      <c r="H110" s="2101"/>
      <c r="I110" s="2101"/>
      <c r="J110" s="2101"/>
      <c r="K110" s="2101"/>
      <c r="L110" s="2101"/>
      <c r="M110" s="2101"/>
      <c r="N110" s="2101"/>
      <c r="O110" s="2101"/>
      <c r="P110" s="2101"/>
      <c r="Q110" s="2101"/>
      <c r="R110" s="2101"/>
      <c r="S110" s="2101"/>
      <c r="T110" s="2101"/>
      <c r="U110" s="2101"/>
      <c r="V110" s="2101"/>
      <c r="W110" s="2101"/>
      <c r="X110" s="2101"/>
      <c r="Y110" s="2101"/>
      <c r="Z110" s="2101"/>
      <c r="AA110" s="2101"/>
      <c r="AB110" s="2101"/>
      <c r="AC110" s="2101"/>
      <c r="AD110" s="2101"/>
      <c r="AE110" s="2101"/>
      <c r="AF110" s="2101"/>
      <c r="AG110" s="2101"/>
      <c r="AH110" s="2101"/>
      <c r="AI110" s="2101"/>
      <c r="AJ110" s="2102"/>
      <c r="AK110" s="575"/>
      <c r="AL110" s="575"/>
      <c r="AM110" s="575"/>
      <c r="AN110" s="570"/>
      <c r="AO110" s="571">
        <f>Application!B718</f>
        <v>0</v>
      </c>
      <c r="AQ110" s="571">
        <f>Application!O718</f>
        <v>0</v>
      </c>
      <c r="AU110" s="892" t="str">
        <f>E118</f>
        <v>Studio/SRO</v>
      </c>
      <c r="AV110" s="571">
        <f t="array" ref="AV110">SUM(IF(Application!B714:F738="SRO/Studio",Application!G714:J738))</f>
        <v>0</v>
      </c>
      <c r="AW110" s="1045">
        <f>AV110/AV116</f>
        <v>0</v>
      </c>
    </row>
    <row r="111" spans="1:49" s="571" customFormat="1" ht="12.75" customHeight="1">
      <c r="A111" s="575"/>
      <c r="B111" s="574"/>
      <c r="C111" s="574"/>
      <c r="D111" s="574"/>
      <c r="E111" s="2100"/>
      <c r="F111" s="2101"/>
      <c r="G111" s="2101"/>
      <c r="H111" s="2101"/>
      <c r="I111" s="2101"/>
      <c r="J111" s="2101"/>
      <c r="K111" s="2101"/>
      <c r="L111" s="2101"/>
      <c r="M111" s="2101"/>
      <c r="N111" s="2101"/>
      <c r="O111" s="2101"/>
      <c r="P111" s="2101"/>
      <c r="Q111" s="2101"/>
      <c r="R111" s="2101"/>
      <c r="S111" s="2101"/>
      <c r="T111" s="2101"/>
      <c r="U111" s="2101"/>
      <c r="V111" s="2101"/>
      <c r="W111" s="2101"/>
      <c r="X111" s="2101"/>
      <c r="Y111" s="2101"/>
      <c r="Z111" s="2101"/>
      <c r="AA111" s="2101"/>
      <c r="AB111" s="2101"/>
      <c r="AC111" s="2101"/>
      <c r="AD111" s="2101"/>
      <c r="AE111" s="2101"/>
      <c r="AF111" s="2101"/>
      <c r="AG111" s="2101"/>
      <c r="AH111" s="2101"/>
      <c r="AI111" s="2101"/>
      <c r="AJ111" s="2102"/>
      <c r="AK111" s="575"/>
      <c r="AL111" s="575"/>
      <c r="AM111" s="575"/>
      <c r="AN111" s="570"/>
      <c r="AO111" s="571" t="str">
        <f>Application!B719</f>
        <v>2 Bedrooms</v>
      </c>
      <c r="AQ111" s="571">
        <f>Application!O719</f>
        <v>598</v>
      </c>
      <c r="AU111" s="892" t="str">
        <f>J118</f>
        <v>1-bedroom</v>
      </c>
      <c r="AV111" s="571">
        <f t="array" ref="AV111">SUM(IF(Application!B714:F738="1 Bedroom",Application!G714:J738))</f>
        <v>40</v>
      </c>
      <c r="AW111" s="1045">
        <f>AV111/AV116</f>
        <v>0.20512820512820512</v>
      </c>
    </row>
    <row r="112" spans="1:49" s="571" customFormat="1" ht="12.75" customHeight="1">
      <c r="A112" s="575"/>
      <c r="B112" s="574"/>
      <c r="C112" s="574"/>
      <c r="D112" s="574"/>
      <c r="E112" s="2100"/>
      <c r="F112" s="2101"/>
      <c r="G112" s="2101"/>
      <c r="H112" s="2101"/>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101"/>
      <c r="AD112" s="2101"/>
      <c r="AE112" s="2101"/>
      <c r="AF112" s="2101"/>
      <c r="AG112" s="2101"/>
      <c r="AH112" s="2101"/>
      <c r="AI112" s="2101"/>
      <c r="AJ112" s="2102"/>
      <c r="AK112" s="575"/>
      <c r="AL112" s="575"/>
      <c r="AM112" s="575"/>
      <c r="AN112" s="570"/>
      <c r="AO112" s="571" t="str">
        <f>Application!B720</f>
        <v>2 Bedrooms</v>
      </c>
      <c r="AQ112" s="571">
        <f>Application!O720</f>
        <v>1134</v>
      </c>
      <c r="AU112" s="892" t="str">
        <f>O118</f>
        <v>2-bedroom</v>
      </c>
      <c r="AV112" s="571">
        <f t="array" ref="AV112">SUM(IF(Application!B714:F738="2 Bedrooms",Application!G714:J738))</f>
        <v>77</v>
      </c>
      <c r="AW112" s="1045">
        <f>AV112/AV116</f>
        <v>0.39487179487179486</v>
      </c>
    </row>
    <row r="113" spans="1:52" s="571" customFormat="1" ht="12.75" customHeight="1">
      <c r="A113" s="575"/>
      <c r="B113" s="574"/>
      <c r="C113" s="574"/>
      <c r="D113" s="574"/>
      <c r="E113" s="2100"/>
      <c r="F113" s="2101"/>
      <c r="G113" s="2101"/>
      <c r="H113" s="2101"/>
      <c r="I113" s="2101"/>
      <c r="J113" s="2101"/>
      <c r="K113" s="2101"/>
      <c r="L113" s="2101"/>
      <c r="M113" s="2101"/>
      <c r="N113" s="2101"/>
      <c r="O113" s="2101"/>
      <c r="P113" s="2101"/>
      <c r="Q113" s="2101"/>
      <c r="R113" s="2101"/>
      <c r="S113" s="2101"/>
      <c r="T113" s="2101"/>
      <c r="U113" s="2101"/>
      <c r="V113" s="2101"/>
      <c r="W113" s="2101"/>
      <c r="X113" s="2101"/>
      <c r="Y113" s="2101"/>
      <c r="Z113" s="2101"/>
      <c r="AA113" s="2101"/>
      <c r="AB113" s="2101"/>
      <c r="AC113" s="2101"/>
      <c r="AD113" s="2101"/>
      <c r="AE113" s="2101"/>
      <c r="AF113" s="2101"/>
      <c r="AG113" s="2101"/>
      <c r="AH113" s="2101"/>
      <c r="AI113" s="2101"/>
      <c r="AJ113" s="2102"/>
      <c r="AK113" s="575"/>
      <c r="AL113" s="575"/>
      <c r="AM113" s="575"/>
      <c r="AN113" s="570"/>
      <c r="AO113" s="571" t="str">
        <f>Application!B721</f>
        <v>2 Bedrooms</v>
      </c>
      <c r="AQ113" s="571">
        <f>Application!O721</f>
        <v>1402</v>
      </c>
      <c r="AU113" s="892" t="str">
        <f>T118</f>
        <v>3-bedroom</v>
      </c>
      <c r="AV113" s="571">
        <f t="array" ref="AV113">SUM(IF(Application!B714:F738="3 Bedrooms",Application!G714:J738))</f>
        <v>78</v>
      </c>
      <c r="AW113" s="1045">
        <f>AV113/AV116</f>
        <v>0.4</v>
      </c>
    </row>
    <row r="114" spans="1:52" s="571" customFormat="1" ht="12.75" customHeight="1">
      <c r="A114" s="575"/>
      <c r="B114" s="574"/>
      <c r="C114" s="574"/>
      <c r="D114" s="574"/>
      <c r="E114" s="2100"/>
      <c r="F114" s="2101"/>
      <c r="G114" s="2101"/>
      <c r="H114" s="2101"/>
      <c r="I114" s="2101"/>
      <c r="J114" s="2101"/>
      <c r="K114" s="2101"/>
      <c r="L114" s="2101"/>
      <c r="M114" s="2101"/>
      <c r="N114" s="2101"/>
      <c r="O114" s="2101"/>
      <c r="P114" s="2101"/>
      <c r="Q114" s="2101"/>
      <c r="R114" s="2101"/>
      <c r="S114" s="2101"/>
      <c r="T114" s="2101"/>
      <c r="U114" s="2101"/>
      <c r="V114" s="2101"/>
      <c r="W114" s="2101"/>
      <c r="X114" s="2101"/>
      <c r="Y114" s="2101"/>
      <c r="Z114" s="2101"/>
      <c r="AA114" s="2101"/>
      <c r="AB114" s="2101"/>
      <c r="AC114" s="2101"/>
      <c r="AD114" s="2101"/>
      <c r="AE114" s="2101"/>
      <c r="AF114" s="2101"/>
      <c r="AG114" s="2101"/>
      <c r="AH114" s="2101"/>
      <c r="AI114" s="2101"/>
      <c r="AJ114" s="2102"/>
      <c r="AK114" s="575"/>
      <c r="AL114" s="575"/>
      <c r="AM114" s="575"/>
      <c r="AN114" s="570"/>
      <c r="AO114" s="571" t="str">
        <f>Application!B722</f>
        <v>2 Bedrooms</v>
      </c>
      <c r="AQ114" s="571">
        <f>Application!O722</f>
        <v>1670</v>
      </c>
      <c r="AU114" s="892" t="str">
        <f>Y118</f>
        <v>4-bedroom</v>
      </c>
      <c r="AV114" s="571">
        <f t="array" ref="AV114">SUM(IF(Application!B714:F738="4 Bedrooms",Application!G714:J738))</f>
        <v>0</v>
      </c>
      <c r="AW114" s="1045">
        <f>AV114/AV116</f>
        <v>0</v>
      </c>
    </row>
    <row r="115" spans="1:52" s="571" customFormat="1" ht="12.75" customHeight="1">
      <c r="A115" s="575"/>
      <c r="B115" s="574"/>
      <c r="C115" s="574"/>
      <c r="D115" s="574"/>
      <c r="E115" s="2100"/>
      <c r="F115" s="2101"/>
      <c r="G115" s="2101"/>
      <c r="H115" s="2101"/>
      <c r="I115" s="2101"/>
      <c r="J115" s="2101"/>
      <c r="K115" s="2101"/>
      <c r="L115" s="2101"/>
      <c r="M115" s="2101"/>
      <c r="N115" s="2101"/>
      <c r="O115" s="2101"/>
      <c r="P115" s="2101"/>
      <c r="Q115" s="2101"/>
      <c r="R115" s="2101"/>
      <c r="S115" s="2101"/>
      <c r="T115" s="2101"/>
      <c r="U115" s="2101"/>
      <c r="V115" s="2101"/>
      <c r="W115" s="2101"/>
      <c r="X115" s="2101"/>
      <c r="Y115" s="2101"/>
      <c r="Z115" s="2101"/>
      <c r="AA115" s="2101"/>
      <c r="AB115" s="2101"/>
      <c r="AC115" s="2101"/>
      <c r="AD115" s="2101"/>
      <c r="AE115" s="2101"/>
      <c r="AF115" s="2101"/>
      <c r="AG115" s="2101"/>
      <c r="AH115" s="2101"/>
      <c r="AI115" s="2101"/>
      <c r="AJ115" s="2102"/>
      <c r="AK115" s="575"/>
      <c r="AL115" s="575"/>
      <c r="AM115" s="575"/>
      <c r="AN115" s="570"/>
      <c r="AO115" s="571">
        <f>Application!B723</f>
        <v>0</v>
      </c>
      <c r="AQ115" s="571">
        <f>Application!O723</f>
        <v>0</v>
      </c>
      <c r="AU115" s="892" t="str">
        <f>AD118</f>
        <v>5-bedroom</v>
      </c>
      <c r="AV115" s="571">
        <f t="array" ref="AV115">SUM(IF(Application!B714:F738="5 Bedrooms",Application!G714:J738))</f>
        <v>0</v>
      </c>
      <c r="AW115" s="1045">
        <f>AV115/AV116</f>
        <v>0</v>
      </c>
    </row>
    <row r="116" spans="1:52" s="571" customFormat="1" ht="12.75" customHeight="1">
      <c r="A116" s="575"/>
      <c r="B116" s="574"/>
      <c r="C116" s="574"/>
      <c r="D116" s="574"/>
      <c r="E116" s="2100"/>
      <c r="F116" s="2101"/>
      <c r="G116" s="2101"/>
      <c r="H116" s="2101"/>
      <c r="I116" s="2101"/>
      <c r="J116" s="2101"/>
      <c r="K116" s="2101"/>
      <c r="L116" s="2101"/>
      <c r="M116" s="2101"/>
      <c r="N116" s="2101"/>
      <c r="O116" s="2101"/>
      <c r="P116" s="2101"/>
      <c r="Q116" s="2101"/>
      <c r="R116" s="2101"/>
      <c r="S116" s="2101"/>
      <c r="T116" s="2101"/>
      <c r="U116" s="2101"/>
      <c r="V116" s="2101"/>
      <c r="W116" s="2101"/>
      <c r="X116" s="2101"/>
      <c r="Y116" s="2101"/>
      <c r="Z116" s="2101"/>
      <c r="AA116" s="2101"/>
      <c r="AB116" s="2101"/>
      <c r="AC116" s="2101"/>
      <c r="AD116" s="2101"/>
      <c r="AE116" s="2101"/>
      <c r="AF116" s="2101"/>
      <c r="AG116" s="2101"/>
      <c r="AH116" s="2101"/>
      <c r="AI116" s="2101"/>
      <c r="AJ116" s="2102"/>
      <c r="AK116" s="575"/>
      <c r="AL116" s="575"/>
      <c r="AM116" s="575"/>
      <c r="AN116" s="570"/>
      <c r="AO116" s="571" t="str">
        <f>Application!B724</f>
        <v>3 Bedrooms</v>
      </c>
      <c r="AQ116" s="571">
        <f>Application!O724</f>
        <v>676</v>
      </c>
      <c r="AV116" s="571">
        <f>SUM(AV110:AV115)</f>
        <v>195</v>
      </c>
      <c r="AW116" s="1045">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1295</v>
      </c>
    </row>
    <row r="118" spans="1:52" s="571" customFormat="1" ht="12.75" customHeight="1">
      <c r="A118" s="575"/>
      <c r="B118" s="574"/>
      <c r="C118" s="575"/>
      <c r="D118" s="575"/>
      <c r="E118" s="2093" t="s">
        <v>1767</v>
      </c>
      <c r="F118" s="2094"/>
      <c r="G118" s="2094"/>
      <c r="H118" s="2094"/>
      <c r="I118" s="612"/>
      <c r="J118" s="2094" t="s">
        <v>1812</v>
      </c>
      <c r="K118" s="2094"/>
      <c r="L118" s="2094"/>
      <c r="M118" s="2094"/>
      <c r="N118" s="612"/>
      <c r="O118" s="2094" t="s">
        <v>1813</v>
      </c>
      <c r="P118" s="2094"/>
      <c r="Q118" s="2094"/>
      <c r="R118" s="2094"/>
      <c r="S118" s="612"/>
      <c r="T118" s="2094" t="s">
        <v>1508</v>
      </c>
      <c r="U118" s="2094"/>
      <c r="V118" s="2094"/>
      <c r="W118" s="2094"/>
      <c r="X118" s="612"/>
      <c r="Y118" s="2094" t="s">
        <v>1814</v>
      </c>
      <c r="Z118" s="2094"/>
      <c r="AA118" s="2094"/>
      <c r="AB118" s="2094"/>
      <c r="AC118" s="612"/>
      <c r="AD118" s="2094" t="s">
        <v>1815</v>
      </c>
      <c r="AE118" s="2094"/>
      <c r="AF118" s="2094"/>
      <c r="AG118" s="2094"/>
      <c r="AH118" s="612"/>
      <c r="AI118" s="612"/>
      <c r="AJ118" s="614"/>
      <c r="AK118" s="575"/>
      <c r="AL118" s="575"/>
      <c r="AM118" s="575"/>
      <c r="AN118" s="570"/>
      <c r="AO118" s="571" t="str">
        <f>Application!B726</f>
        <v>3 Bedrooms</v>
      </c>
      <c r="AQ118" s="571">
        <f>Application!O726</f>
        <v>1605</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1915</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95"/>
      <c r="F121" s="2096"/>
      <c r="G121" s="2096"/>
      <c r="H121" s="2096"/>
      <c r="I121" s="900"/>
      <c r="J121" s="2096">
        <v>1622</v>
      </c>
      <c r="K121" s="2096"/>
      <c r="L121" s="2096"/>
      <c r="M121" s="2096"/>
      <c r="N121" s="900"/>
      <c r="O121" s="2096">
        <v>1965</v>
      </c>
      <c r="P121" s="2096"/>
      <c r="Q121" s="2096"/>
      <c r="R121" s="2096"/>
      <c r="S121" s="900"/>
      <c r="T121" s="2096">
        <v>2260</v>
      </c>
      <c r="U121" s="2096"/>
      <c r="V121" s="2096"/>
      <c r="W121" s="2096"/>
      <c r="X121" s="900"/>
      <c r="Y121" s="2096"/>
      <c r="Z121" s="2096"/>
      <c r="AA121" s="2096"/>
      <c r="AB121" s="2096"/>
      <c r="AC121" s="900"/>
      <c r="AD121" s="2096"/>
      <c r="AE121" s="2096"/>
      <c r="AF121" s="2096"/>
      <c r="AG121" s="209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3"/>
      <c r="AV122" s="1043"/>
      <c r="AW122" s="1043"/>
      <c r="AX122" s="1043"/>
      <c r="AY122" s="1043"/>
      <c r="AZ122" s="1043"/>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3"/>
      <c r="AV123" s="1043"/>
      <c r="AW123" s="1043"/>
      <c r="AX123" s="1043"/>
      <c r="AY123" s="1043"/>
      <c r="AZ123" s="1043"/>
    </row>
    <row r="124" spans="1:52" s="571" customFormat="1" ht="12.75" customHeight="1">
      <c r="A124" s="575"/>
      <c r="B124" s="574"/>
      <c r="C124" s="575"/>
      <c r="D124" s="575"/>
      <c r="E124" s="2103">
        <f>Application!DX649</f>
        <v>0</v>
      </c>
      <c r="F124" s="2104"/>
      <c r="G124" s="2104"/>
      <c r="H124" s="2104"/>
      <c r="I124" s="900"/>
      <c r="J124" s="2104">
        <f>Application!EC649</f>
        <v>1153.0250000000001</v>
      </c>
      <c r="K124" s="2104"/>
      <c r="L124" s="2104"/>
      <c r="M124" s="2104"/>
      <c r="N124" s="900"/>
      <c r="O124" s="2104">
        <f>Application!EH649</f>
        <v>1405.4805194805194</v>
      </c>
      <c r="P124" s="2104"/>
      <c r="Q124" s="2104"/>
      <c r="R124" s="2104"/>
      <c r="S124" s="904"/>
      <c r="T124" s="2104">
        <f>Application!EM649</f>
        <v>1605.0897435897436</v>
      </c>
      <c r="U124" s="2104"/>
      <c r="V124" s="2104"/>
      <c r="W124" s="2104"/>
      <c r="X124" s="904"/>
      <c r="Y124" s="2104">
        <f>Application!ER649</f>
        <v>0</v>
      </c>
      <c r="Z124" s="2104"/>
      <c r="AA124" s="2104"/>
      <c r="AB124" s="2104"/>
      <c r="AC124" s="904"/>
      <c r="AD124" s="2104">
        <f>Application!EW649</f>
        <v>0</v>
      </c>
      <c r="AE124" s="2104"/>
      <c r="AF124" s="2104"/>
      <c r="AG124" s="2104"/>
      <c r="AH124" s="612"/>
      <c r="AI124" s="612"/>
      <c r="AJ124" s="614"/>
      <c r="AK124" s="575"/>
      <c r="AL124" s="575"/>
      <c r="AM124" s="575"/>
      <c r="AN124" s="570"/>
      <c r="AO124" s="571">
        <f>Application!B732</f>
        <v>0</v>
      </c>
      <c r="AQ124" s="571">
        <f>Application!O732</f>
        <v>0</v>
      </c>
      <c r="AU124" s="1043"/>
      <c r="AV124" s="1043"/>
      <c r="AW124" s="1044"/>
      <c r="AX124" s="1044"/>
      <c r="AY124" s="1043"/>
      <c r="AZ124" s="1043"/>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3"/>
      <c r="AV125" s="1043"/>
      <c r="AW125" s="1044"/>
      <c r="AX125" s="1044"/>
      <c r="AY125" s="1043"/>
      <c r="AZ125" s="1043"/>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3"/>
      <c r="AV126" s="1043"/>
      <c r="AW126" s="1044"/>
      <c r="AX126" s="1044"/>
      <c r="AY126" s="1043"/>
      <c r="AZ126" s="1043"/>
    </row>
    <row r="127" spans="1:52" s="571" customFormat="1" ht="12.75" customHeight="1">
      <c r="A127" s="575"/>
      <c r="B127" s="574"/>
      <c r="C127" s="575"/>
      <c r="D127" s="575"/>
      <c r="E127" s="1900" t="e">
        <f>(E121-E124)/E121</f>
        <v>#DIV/0!</v>
      </c>
      <c r="F127" s="1901"/>
      <c r="G127" s="1901"/>
      <c r="H127" s="1902"/>
      <c r="I127" s="612"/>
      <c r="J127" s="1900">
        <f>(J121-J124)/J121</f>
        <v>0.28913378545006158</v>
      </c>
      <c r="K127" s="1901"/>
      <c r="L127" s="1901"/>
      <c r="M127" s="1902"/>
      <c r="N127" s="612"/>
      <c r="O127" s="1900">
        <f>(O121-O124)/O121</f>
        <v>0.28474273817785273</v>
      </c>
      <c r="P127" s="1901"/>
      <c r="Q127" s="1901"/>
      <c r="R127" s="1902"/>
      <c r="S127" s="612"/>
      <c r="T127" s="1900">
        <f>(T121-T124)/T121</f>
        <v>0.28978329929657359</v>
      </c>
      <c r="U127" s="1901"/>
      <c r="V127" s="1901"/>
      <c r="W127" s="1902"/>
      <c r="X127" s="612"/>
      <c r="Y127" s="1900" t="e">
        <f>(Y121-Y124)/Y121</f>
        <v>#DIV/0!</v>
      </c>
      <c r="Z127" s="1901"/>
      <c r="AA127" s="1901"/>
      <c r="AB127" s="1902"/>
      <c r="AC127" s="612"/>
      <c r="AD127" s="1900" t="e">
        <f>(AD121-AD124)/AD121</f>
        <v>#DIV/0!</v>
      </c>
      <c r="AE127" s="1901"/>
      <c r="AF127" s="1901"/>
      <c r="AG127" s="1902"/>
      <c r="AH127" s="612"/>
      <c r="AI127" s="612"/>
      <c r="AJ127" s="614"/>
      <c r="AK127" s="575"/>
      <c r="AL127" s="575"/>
      <c r="AM127" s="575"/>
      <c r="AN127" s="570"/>
      <c r="AO127" s="571">
        <f>Application!B735</f>
        <v>0</v>
      </c>
      <c r="AQ127" s="571">
        <f>Application!O735</f>
        <v>0</v>
      </c>
      <c r="AU127" s="1043"/>
      <c r="AV127" s="1043"/>
      <c r="AW127" s="1044"/>
      <c r="AX127" s="1044"/>
      <c r="AY127" s="1043"/>
      <c r="AZ127" s="1043"/>
    </row>
    <row r="128" spans="1:52" s="571" customFormat="1" ht="12.75" customHeight="1">
      <c r="A128" s="575"/>
      <c r="B128" s="574"/>
      <c r="C128" s="575"/>
      <c r="D128" s="575"/>
      <c r="E128" s="1038"/>
      <c r="F128" s="1037"/>
      <c r="G128" s="1037"/>
      <c r="H128" s="1037"/>
      <c r="I128" s="612"/>
      <c r="J128" s="1037"/>
      <c r="K128" s="1037"/>
      <c r="L128" s="1037"/>
      <c r="M128" s="1037"/>
      <c r="N128" s="612"/>
      <c r="O128" s="1037"/>
      <c r="P128" s="1037"/>
      <c r="Q128" s="1037"/>
      <c r="R128" s="1037"/>
      <c r="S128" s="612"/>
      <c r="T128" s="1037"/>
      <c r="U128" s="1037"/>
      <c r="V128" s="1037"/>
      <c r="W128" s="1037"/>
      <c r="X128" s="612"/>
      <c r="Y128" s="1037"/>
      <c r="Z128" s="1037"/>
      <c r="AA128" s="1037"/>
      <c r="AB128" s="1037"/>
      <c r="AC128" s="612"/>
      <c r="AD128" s="1037"/>
      <c r="AE128" s="1037"/>
      <c r="AF128" s="1037"/>
      <c r="AG128" s="1037"/>
      <c r="AH128" s="612"/>
      <c r="AI128" s="612"/>
      <c r="AJ128" s="614"/>
      <c r="AK128" s="575"/>
      <c r="AL128" s="575"/>
      <c r="AM128" s="575"/>
      <c r="AN128" s="570"/>
      <c r="AO128" s="571">
        <f>Application!B736</f>
        <v>0</v>
      </c>
      <c r="AQ128" s="571">
        <f>Application!O736</f>
        <v>0</v>
      </c>
      <c r="AU128" s="1043"/>
      <c r="AV128" s="1043"/>
      <c r="AW128" s="1044"/>
      <c r="AX128" s="1044"/>
      <c r="AY128" s="1043"/>
      <c r="AZ128" s="1043"/>
    </row>
    <row r="129" spans="1:52" s="571" customFormat="1" ht="12.75" customHeight="1">
      <c r="A129" s="575"/>
      <c r="B129" s="574"/>
      <c r="C129" s="575"/>
      <c r="D129" s="575"/>
      <c r="E129" s="1039" t="s">
        <v>2110</v>
      </c>
      <c r="F129" s="1037"/>
      <c r="G129" s="1037"/>
      <c r="H129" s="1037"/>
      <c r="I129" s="612"/>
      <c r="J129" s="1037"/>
      <c r="K129" s="1037"/>
      <c r="L129" s="1037"/>
      <c r="M129" s="1037"/>
      <c r="N129" s="612"/>
      <c r="O129" s="1037"/>
      <c r="P129" s="1037"/>
      <c r="Q129" s="1037"/>
      <c r="R129" s="1037"/>
      <c r="S129" s="612"/>
      <c r="T129" s="1037"/>
      <c r="U129" s="1037"/>
      <c r="V129" s="1037"/>
      <c r="W129" s="1037"/>
      <c r="X129" s="612"/>
      <c r="Y129" s="1037"/>
      <c r="Z129" s="1037"/>
      <c r="AA129" s="1037"/>
      <c r="AB129" s="1037"/>
      <c r="AC129" s="612"/>
      <c r="AD129" s="1037"/>
      <c r="AE129" s="1037"/>
      <c r="AF129" s="1037"/>
      <c r="AG129" s="1037"/>
      <c r="AH129" s="612"/>
      <c r="AI129" s="612"/>
      <c r="AJ129" s="614"/>
      <c r="AK129" s="575"/>
      <c r="AL129" s="575"/>
      <c r="AM129" s="575"/>
      <c r="AN129" s="570"/>
      <c r="AO129" s="571">
        <f>Application!B737</f>
        <v>0</v>
      </c>
      <c r="AQ129" s="571">
        <f>Application!O737</f>
        <v>0</v>
      </c>
      <c r="AU129" s="1044"/>
      <c r="AV129" s="1043"/>
      <c r="AW129" s="1044"/>
      <c r="AX129" s="1044"/>
      <c r="AY129" s="1043"/>
      <c r="AZ129" s="1043"/>
    </row>
    <row r="130" spans="1:52" s="571" customFormat="1" ht="12.75" customHeight="1">
      <c r="A130" s="575"/>
      <c r="B130" s="574"/>
      <c r="C130" s="575"/>
      <c r="D130" s="575"/>
      <c r="E130" s="2106" t="e">
        <f>IF(((E127-0.1)*AW110)&gt;0,((E127-0.1)*AW110),0)</f>
        <v>#DIV/0!</v>
      </c>
      <c r="F130" s="2107"/>
      <c r="G130" s="2107"/>
      <c r="H130" s="2108"/>
      <c r="I130" s="612"/>
      <c r="J130" s="2106">
        <f>IF(((J127-0.1)*AW111)&gt;0,((J127-0.1)*AW111),0)</f>
        <v>3.879667393847417E-2</v>
      </c>
      <c r="K130" s="2107"/>
      <c r="L130" s="2107"/>
      <c r="M130" s="2108"/>
      <c r="N130" s="612"/>
      <c r="O130" s="2106">
        <f>IF(((O127-0.1)*AW112)&gt;0,((O127-0.1)*AW112),0)</f>
        <v>7.2949696613818768E-2</v>
      </c>
      <c r="P130" s="2107"/>
      <c r="Q130" s="2107"/>
      <c r="R130" s="2108"/>
      <c r="S130" s="612"/>
      <c r="T130" s="2106">
        <f>IF(((T127-0.1)*AW113)&gt;0,((T127-0.1)*AW113),0)</f>
        <v>7.5913319718629441E-2</v>
      </c>
      <c r="U130" s="2107"/>
      <c r="V130" s="2107"/>
      <c r="W130" s="2108"/>
      <c r="X130" s="612"/>
      <c r="Y130" s="2106" t="e">
        <f>IF(((Y127-0.1)*AW114)&gt;0,((Y127-0.1)*AW114),0)</f>
        <v>#DIV/0!</v>
      </c>
      <c r="Z130" s="2107"/>
      <c r="AA130" s="2107"/>
      <c r="AB130" s="2108"/>
      <c r="AC130" s="612"/>
      <c r="AD130" s="2106" t="e">
        <f>IF(((AD127-0.1)*AW115)&gt;0,((AD127-0.1)*AW115),0)</f>
        <v>#DIV/0!</v>
      </c>
      <c r="AE130" s="2107"/>
      <c r="AF130" s="2107"/>
      <c r="AG130" s="2108"/>
      <c r="AH130" s="612"/>
      <c r="AI130" s="612"/>
      <c r="AJ130" s="614"/>
      <c r="AK130" s="575"/>
      <c r="AL130" s="575"/>
      <c r="AM130" s="575"/>
      <c r="AN130" s="570"/>
      <c r="AO130" s="571">
        <f>Application!B738</f>
        <v>0</v>
      </c>
      <c r="AQ130" s="571">
        <f>Application!O738</f>
        <v>0</v>
      </c>
      <c r="AU130" s="1043"/>
      <c r="AV130" s="1043"/>
      <c r="AW130" s="1043"/>
      <c r="AX130" s="1044"/>
      <c r="AY130" s="1043"/>
      <c r="AZ130" s="1043"/>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3"/>
      <c r="AV131" s="1043"/>
      <c r="AW131" s="1043"/>
      <c r="AX131" s="1043"/>
      <c r="AY131" s="1043"/>
      <c r="AZ131" s="1043"/>
    </row>
    <row r="132" spans="1:52" s="571" customFormat="1" ht="12.75" customHeight="1">
      <c r="A132" s="575"/>
      <c r="B132" s="574"/>
      <c r="C132" s="575"/>
      <c r="D132" s="575"/>
      <c r="E132" s="1900">
        <f>ROUNDDOWN(SUMIF(E130:AG130,"&gt;0"),2)</f>
        <v>0.18</v>
      </c>
      <c r="F132" s="1901"/>
      <c r="G132" s="1901"/>
      <c r="H132" s="1902"/>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3"/>
      <c r="AV132" s="1043"/>
      <c r="AW132" s="1043"/>
      <c r="AX132" s="1044"/>
      <c r="AY132" s="1043"/>
      <c r="AZ132" s="1043"/>
    </row>
    <row r="133" spans="1:52" s="571" customFormat="1" ht="12.75" customHeight="1">
      <c r="A133" s="575"/>
      <c r="B133" s="574"/>
      <c r="C133" s="575"/>
      <c r="D133" s="575"/>
      <c r="E133" s="2079">
        <f>IF((E132*100)&gt;10,10,E132*100)</f>
        <v>10</v>
      </c>
      <c r="F133" s="2080"/>
      <c r="G133" s="2080"/>
      <c r="H133" s="2081"/>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3"/>
      <c r="AV133" s="1043"/>
      <c r="AW133" s="1043"/>
      <c r="AX133" s="1043"/>
      <c r="AY133" s="1043"/>
      <c r="AZ133" s="1043"/>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6"/>
      <c r="AU134" s="1043"/>
      <c r="AV134" s="1043"/>
      <c r="AW134" s="1044"/>
      <c r="AX134" s="1043"/>
      <c r="AY134" s="1043"/>
      <c r="AZ134" s="1043"/>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3"/>
      <c r="AV135" s="1043"/>
      <c r="AW135" s="1043"/>
      <c r="AX135" s="1043"/>
      <c r="AY135" s="1043"/>
      <c r="AZ135" s="1043"/>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79">
        <f>E133</f>
        <v>10</v>
      </c>
      <c r="AL137" s="2080"/>
      <c r="AM137" s="208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27" t="s">
        <v>1488</v>
      </c>
      <c r="AF140" s="1927"/>
      <c r="AG140" s="1927"/>
      <c r="AH140" s="1927"/>
      <c r="AI140" s="1927"/>
      <c r="AJ140" s="1927"/>
      <c r="AK140" s="1927"/>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94" t="s">
        <v>1512</v>
      </c>
      <c r="AG142" s="1994"/>
      <c r="AH142" s="1994"/>
      <c r="AI142" s="1994"/>
      <c r="AJ142" s="1994"/>
      <c r="AK142" s="1994"/>
      <c r="AL142" s="1994"/>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84" t="s">
        <v>2749</v>
      </c>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85" t="s">
        <v>1515</v>
      </c>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2411</v>
      </c>
      <c r="AP148" s="524">
        <v>7</v>
      </c>
    </row>
    <row r="149" spans="1:42" s="571" customFormat="1" ht="12.75" customHeight="1">
      <c r="A149" s="573"/>
      <c r="B149" s="574" t="s">
        <v>1516</v>
      </c>
      <c r="AB149" s="2029" t="s">
        <v>601</v>
      </c>
      <c r="AC149" s="2029"/>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85" t="s">
        <v>1517</v>
      </c>
      <c r="C152" s="2085"/>
      <c r="D152" s="2085"/>
      <c r="E152" s="2085"/>
      <c r="F152" s="2085"/>
      <c r="G152" s="2085"/>
      <c r="H152" s="2085"/>
      <c r="I152" s="2085"/>
      <c r="J152" s="2085"/>
      <c r="K152" s="2085"/>
      <c r="L152" s="2085"/>
      <c r="M152" s="2085"/>
      <c r="N152" s="2085"/>
      <c r="O152" s="2085"/>
      <c r="P152" s="2085"/>
      <c r="Q152" s="2085"/>
      <c r="R152" s="2085"/>
      <c r="S152" s="2085"/>
      <c r="T152" s="2085"/>
      <c r="U152" s="2085"/>
      <c r="V152" s="2085"/>
      <c r="W152" s="2085"/>
      <c r="X152" s="2085"/>
      <c r="Y152" s="2085"/>
      <c r="Z152" s="2085"/>
      <c r="AA152" s="2085"/>
      <c r="AB152" s="2085"/>
      <c r="AC152" s="2085"/>
      <c r="AD152" s="2085"/>
      <c r="AE152" s="2085"/>
      <c r="AF152" s="2085"/>
      <c r="AG152" s="2085"/>
      <c r="AH152" s="2085"/>
      <c r="AI152" s="2085"/>
      <c r="AJ152" s="2085"/>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54">
        <f>IF($AB$149="N/A",VLOOKUP($B$147,$AO$145:$AP$148,2,FALSE),VLOOKUP($B$152,$AO$150:$AP$153,2,FALSE))</f>
        <v>7</v>
      </c>
      <c r="AK155" s="195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94" t="s">
        <v>1526</v>
      </c>
      <c r="AG157" s="1994"/>
      <c r="AH157" s="1994"/>
      <c r="AI157" s="1994"/>
      <c r="AJ157" s="1994"/>
      <c r="AK157" s="1994"/>
      <c r="AL157" s="1994"/>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85" t="s">
        <v>1524</v>
      </c>
      <c r="D159" s="2085"/>
      <c r="E159" s="2085"/>
      <c r="F159" s="2085"/>
      <c r="G159" s="2085"/>
      <c r="H159" s="2085"/>
      <c r="I159" s="2085"/>
      <c r="J159" s="2085"/>
      <c r="K159" s="2085"/>
      <c r="L159" s="2085"/>
      <c r="M159" s="2085"/>
      <c r="N159" s="2085"/>
      <c r="O159" s="2085"/>
      <c r="P159" s="2085"/>
      <c r="Q159" s="2085"/>
      <c r="R159" s="2085"/>
      <c r="S159" s="2085"/>
      <c r="T159" s="2085"/>
      <c r="U159" s="2085"/>
      <c r="V159" s="2085"/>
      <c r="W159" s="2085"/>
      <c r="X159" s="2085"/>
      <c r="Y159" s="2085"/>
      <c r="Z159" s="2085"/>
      <c r="AA159" s="2085"/>
      <c r="AB159" s="2085"/>
      <c r="AC159" s="2085"/>
      <c r="AD159" s="2085"/>
      <c r="AE159" s="2085"/>
      <c r="AF159" s="2085"/>
      <c r="AG159" s="2085"/>
      <c r="AH159" s="2085"/>
      <c r="AI159" s="2085"/>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29" t="s">
        <v>601</v>
      </c>
      <c r="AD161" s="2029"/>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85" t="s">
        <v>1517</v>
      </c>
      <c r="D163" s="2085"/>
      <c r="E163" s="2085"/>
      <c r="F163" s="2085"/>
      <c r="G163" s="2085"/>
      <c r="H163" s="2085"/>
      <c r="I163" s="2085"/>
      <c r="J163" s="2085"/>
      <c r="K163" s="2085"/>
      <c r="L163" s="2085"/>
      <c r="M163" s="2085"/>
      <c r="N163" s="2085"/>
      <c r="O163" s="2085"/>
      <c r="P163" s="2085"/>
      <c r="Q163" s="2085"/>
      <c r="R163" s="2085"/>
      <c r="S163" s="2085"/>
      <c r="T163" s="2085"/>
      <c r="U163" s="2085"/>
      <c r="V163" s="2085"/>
      <c r="W163" s="2085"/>
      <c r="X163" s="2085"/>
      <c r="Y163" s="2085"/>
      <c r="Z163" s="2085"/>
      <c r="AA163" s="2085"/>
      <c r="AB163" s="2085"/>
      <c r="AC163" s="2085"/>
      <c r="AD163" s="2085"/>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84" t="s">
        <v>2703</v>
      </c>
      <c r="D167" s="2084"/>
      <c r="E167" s="2084"/>
      <c r="F167" s="2084"/>
      <c r="G167" s="2084"/>
      <c r="H167" s="2084"/>
      <c r="I167" s="2084"/>
      <c r="J167" s="2084"/>
      <c r="K167" s="2084"/>
      <c r="L167" s="2084"/>
      <c r="M167" s="2084"/>
      <c r="N167" s="2084"/>
      <c r="O167" s="2084"/>
      <c r="P167" s="2084"/>
      <c r="Q167" s="2084"/>
      <c r="R167" s="2084"/>
      <c r="S167" s="2084"/>
      <c r="T167" s="2084"/>
      <c r="U167" s="2084"/>
      <c r="V167" s="2084"/>
      <c r="W167" s="2084"/>
      <c r="X167" s="2084"/>
      <c r="Y167" s="2084"/>
      <c r="Z167" s="2084"/>
      <c r="AA167" s="2084"/>
      <c r="AB167" s="2084"/>
      <c r="AC167" s="2084"/>
      <c r="AD167" s="2084"/>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53">
        <f>IF($AC$161="N/A",VLOOKUP($C$159,$AO$159:$AP$162,2,FALSE),VLOOKUP($C$163,$AO$166:$AP$168,2,FALSE))</f>
        <v>3</v>
      </c>
      <c r="AK169" s="195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79">
        <f>$AJ$155+$AJ$169</f>
        <v>10</v>
      </c>
      <c r="AL172" s="2080"/>
      <c r="AM172" s="208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27" t="s">
        <v>1488</v>
      </c>
      <c r="AF175" s="1927"/>
      <c r="AG175" s="1927"/>
      <c r="AH175" s="1927"/>
      <c r="AI175" s="1927"/>
      <c r="AJ175" s="1927"/>
      <c r="AK175" s="1927"/>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82" t="s">
        <v>1543</v>
      </c>
      <c r="C177" s="2082"/>
      <c r="D177" s="2082"/>
      <c r="E177" s="2082"/>
      <c r="F177" s="2082"/>
      <c r="G177" s="2082"/>
      <c r="H177" s="2082"/>
      <c r="I177" s="2082"/>
      <c r="J177" s="2082"/>
      <c r="K177" s="2082"/>
      <c r="L177" s="2082"/>
      <c r="M177" s="2082"/>
      <c r="N177" s="2082"/>
      <c r="O177" s="2082"/>
      <c r="P177" s="2082"/>
      <c r="Q177" s="2082"/>
      <c r="R177" s="2082"/>
      <c r="S177" s="2082"/>
      <c r="T177" s="2082"/>
      <c r="U177" s="2082"/>
      <c r="V177" s="2082"/>
      <c r="W177" s="2082"/>
      <c r="X177" s="2082"/>
      <c r="Y177" s="2082"/>
      <c r="Z177" s="2082"/>
      <c r="AA177" s="2082"/>
      <c r="AB177" s="2082"/>
      <c r="AC177" s="2082"/>
      <c r="AD177" s="571"/>
      <c r="AE177" s="571"/>
      <c r="AF177" s="1994" t="s">
        <v>1537</v>
      </c>
      <c r="AG177" s="1994"/>
      <c r="AH177" s="1994"/>
      <c r="AI177" s="1994"/>
      <c r="AJ177" s="1994"/>
      <c r="AK177" s="1994"/>
      <c r="AL177" s="1994"/>
      <c r="AN177" s="632"/>
      <c r="AP177" s="585" t="s">
        <v>1105</v>
      </c>
      <c r="AQ177" s="585">
        <v>10</v>
      </c>
    </row>
    <row r="178" spans="1:45" s="585" customFormat="1" ht="12.75" customHeight="1">
      <c r="A178" s="571"/>
      <c r="B178" s="2083" t="s">
        <v>1988</v>
      </c>
      <c r="C178" s="2083"/>
      <c r="D178" s="2083"/>
      <c r="E178" s="2083"/>
      <c r="F178" s="2083"/>
      <c r="G178" s="2083"/>
      <c r="H178" s="2083"/>
      <c r="I178" s="2083"/>
      <c r="J178" s="2083"/>
      <c r="K178" s="2083"/>
      <c r="L178" s="2083"/>
      <c r="M178" s="2083"/>
      <c r="N178" s="2083"/>
      <c r="O178" s="2083"/>
      <c r="P178" s="2083"/>
      <c r="Q178" s="2083"/>
      <c r="R178" s="2083"/>
      <c r="S178" s="2083"/>
      <c r="T178" s="2084" t="s">
        <v>601</v>
      </c>
      <c r="U178" s="2084"/>
      <c r="V178" s="2084"/>
      <c r="W178" s="2084"/>
      <c r="X178" s="2084"/>
      <c r="Y178" s="2084"/>
      <c r="Z178" s="2084"/>
      <c r="AA178" s="2084"/>
      <c r="AB178" s="2084"/>
      <c r="AC178" s="2084"/>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21">
        <f>IF(AK78&gt;0,VLOOKUP($B$177,AP174:AQ180,2,FALSE),0)</f>
        <v>10</v>
      </c>
      <c r="AL180" s="1922"/>
      <c r="AM180" s="1923"/>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27" t="s">
        <v>1546</v>
      </c>
      <c r="AF183" s="1927"/>
      <c r="AG183" s="1927"/>
      <c r="AH183" s="1927"/>
      <c r="AI183" s="1927"/>
      <c r="AJ183" s="1927"/>
      <c r="AK183" s="1927"/>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76" t="s">
        <v>2723</v>
      </c>
      <c r="C188" s="2076"/>
      <c r="D188" s="2076"/>
      <c r="E188" s="2076"/>
      <c r="F188" s="2076"/>
      <c r="G188" s="2076"/>
      <c r="H188" s="2076"/>
      <c r="I188" s="2076"/>
      <c r="J188" s="2076"/>
      <c r="K188" s="2076"/>
      <c r="L188" s="2076"/>
      <c r="M188" s="2076"/>
      <c r="N188" s="2076"/>
      <c r="O188" s="2076"/>
      <c r="P188" s="2076"/>
      <c r="Q188" s="2076"/>
      <c r="R188" s="2076"/>
      <c r="S188" s="2076"/>
      <c r="T188" s="2076"/>
      <c r="U188" s="2076"/>
      <c r="V188" s="2076"/>
      <c r="W188" s="2076"/>
      <c r="X188" s="2076"/>
      <c r="Y188" s="2076"/>
      <c r="Z188" s="2076"/>
      <c r="AA188" s="2076"/>
      <c r="AB188" s="2076"/>
      <c r="AC188" s="882"/>
      <c r="AD188" s="2066">
        <f>[5]Application!AM551</f>
        <v>5900000</v>
      </c>
      <c r="AE188" s="2066"/>
      <c r="AF188" s="2066"/>
      <c r="AG188" s="2066"/>
      <c r="AH188" s="2066"/>
      <c r="AI188" s="2066"/>
      <c r="AJ188" s="2066"/>
      <c r="AK188" s="645"/>
    </row>
    <row r="189" spans="1:45">
      <c r="A189" s="640"/>
      <c r="B189" s="2076"/>
      <c r="C189" s="2076"/>
      <c r="D189" s="2076"/>
      <c r="E189" s="2076"/>
      <c r="F189" s="2076"/>
      <c r="G189" s="2076"/>
      <c r="H189" s="2076"/>
      <c r="I189" s="2076"/>
      <c r="J189" s="2076"/>
      <c r="K189" s="2076"/>
      <c r="L189" s="2076"/>
      <c r="M189" s="2076"/>
      <c r="N189" s="2076"/>
      <c r="O189" s="2076"/>
      <c r="P189" s="2076"/>
      <c r="Q189" s="2076"/>
      <c r="R189" s="2076"/>
      <c r="S189" s="2076"/>
      <c r="T189" s="2076"/>
      <c r="U189" s="2076"/>
      <c r="V189" s="2076"/>
      <c r="W189" s="2076"/>
      <c r="X189" s="2076"/>
      <c r="Y189" s="2076"/>
      <c r="Z189" s="2076"/>
      <c r="AA189" s="2076"/>
      <c r="AB189" s="2076"/>
      <c r="AC189" s="882"/>
      <c r="AD189" s="2066"/>
      <c r="AE189" s="2066"/>
      <c r="AF189" s="2066"/>
      <c r="AG189" s="2066"/>
      <c r="AH189" s="2066"/>
      <c r="AI189" s="2066"/>
      <c r="AJ189" s="2066"/>
      <c r="AK189" s="645"/>
    </row>
    <row r="190" spans="1:45">
      <c r="A190" s="640"/>
      <c r="B190" s="2076"/>
      <c r="C190" s="2076"/>
      <c r="D190" s="2076"/>
      <c r="E190" s="2076"/>
      <c r="F190" s="2076"/>
      <c r="G190" s="2076"/>
      <c r="H190" s="2076"/>
      <c r="I190" s="2076"/>
      <c r="J190" s="2076"/>
      <c r="K190" s="2076"/>
      <c r="L190" s="2076"/>
      <c r="M190" s="2076"/>
      <c r="N190" s="2076"/>
      <c r="O190" s="2076"/>
      <c r="P190" s="2076"/>
      <c r="Q190" s="2076"/>
      <c r="R190" s="2076"/>
      <c r="S190" s="2076"/>
      <c r="T190" s="2076"/>
      <c r="U190" s="2076"/>
      <c r="V190" s="2076"/>
      <c r="W190" s="2076"/>
      <c r="X190" s="2076"/>
      <c r="Y190" s="2076"/>
      <c r="Z190" s="2076"/>
      <c r="AA190" s="2076"/>
      <c r="AB190" s="2076"/>
      <c r="AC190" s="882"/>
      <c r="AD190" s="2066"/>
      <c r="AE190" s="2066"/>
      <c r="AF190" s="2066"/>
      <c r="AG190" s="2066"/>
      <c r="AH190" s="2066"/>
      <c r="AI190" s="2066"/>
      <c r="AJ190" s="2066"/>
      <c r="AK190" s="645"/>
    </row>
    <row r="191" spans="1:45">
      <c r="A191" s="640"/>
      <c r="B191" s="2076"/>
      <c r="C191" s="2076"/>
      <c r="D191" s="2076"/>
      <c r="E191" s="2076"/>
      <c r="F191" s="2076"/>
      <c r="G191" s="2076"/>
      <c r="H191" s="2076"/>
      <c r="I191" s="2076"/>
      <c r="J191" s="2076"/>
      <c r="K191" s="2076"/>
      <c r="L191" s="2076"/>
      <c r="M191" s="2076"/>
      <c r="N191" s="2076"/>
      <c r="O191" s="2076"/>
      <c r="P191" s="2076"/>
      <c r="Q191" s="2076"/>
      <c r="R191" s="2076"/>
      <c r="S191" s="2076"/>
      <c r="T191" s="2076"/>
      <c r="U191" s="2076"/>
      <c r="V191" s="2076"/>
      <c r="W191" s="2076"/>
      <c r="X191" s="2076"/>
      <c r="Y191" s="2076"/>
      <c r="Z191" s="2076"/>
      <c r="AA191" s="2076"/>
      <c r="AB191" s="2076"/>
      <c r="AC191" s="882"/>
      <c r="AD191" s="2066"/>
      <c r="AE191" s="2066"/>
      <c r="AF191" s="2066"/>
      <c r="AG191" s="2066"/>
      <c r="AH191" s="2066"/>
      <c r="AI191" s="2066"/>
      <c r="AJ191" s="2066"/>
      <c r="AK191" s="645"/>
    </row>
    <row r="192" spans="1:45">
      <c r="A192" s="640"/>
      <c r="B192" s="2076"/>
      <c r="C192" s="2076"/>
      <c r="D192" s="2076"/>
      <c r="E192" s="2076"/>
      <c r="F192" s="2076"/>
      <c r="G192" s="2076"/>
      <c r="H192" s="2076"/>
      <c r="I192" s="2076"/>
      <c r="J192" s="2076"/>
      <c r="K192" s="2076"/>
      <c r="L192" s="2076"/>
      <c r="M192" s="2076"/>
      <c r="N192" s="2076"/>
      <c r="O192" s="2076"/>
      <c r="P192" s="2076"/>
      <c r="Q192" s="2076"/>
      <c r="R192" s="2076"/>
      <c r="S192" s="2076"/>
      <c r="T192" s="2076"/>
      <c r="U192" s="2076"/>
      <c r="V192" s="2076"/>
      <c r="W192" s="2076"/>
      <c r="X192" s="2076"/>
      <c r="Y192" s="2076"/>
      <c r="Z192" s="2076"/>
      <c r="AA192" s="2076"/>
      <c r="AB192" s="2076"/>
      <c r="AC192" s="882"/>
      <c r="AD192" s="2066"/>
      <c r="AE192" s="2066"/>
      <c r="AF192" s="2066"/>
      <c r="AG192" s="2066"/>
      <c r="AH192" s="2066"/>
      <c r="AI192" s="2066"/>
      <c r="AJ192" s="2066"/>
      <c r="AK192" s="645"/>
    </row>
    <row r="193" spans="1:37">
      <c r="A193" s="640"/>
      <c r="B193" s="2076"/>
      <c r="C193" s="2076"/>
      <c r="D193" s="2076"/>
      <c r="E193" s="2076"/>
      <c r="F193" s="2076"/>
      <c r="G193" s="2076"/>
      <c r="H193" s="2076"/>
      <c r="I193" s="2076"/>
      <c r="J193" s="2076"/>
      <c r="K193" s="2076"/>
      <c r="L193" s="2076"/>
      <c r="M193" s="2076"/>
      <c r="N193" s="2076"/>
      <c r="O193" s="2076"/>
      <c r="P193" s="2076"/>
      <c r="Q193" s="2076"/>
      <c r="R193" s="2076"/>
      <c r="S193" s="2076"/>
      <c r="T193" s="2076"/>
      <c r="U193" s="2076"/>
      <c r="V193" s="2076"/>
      <c r="W193" s="2076"/>
      <c r="X193" s="2076"/>
      <c r="Y193" s="2076"/>
      <c r="Z193" s="2076"/>
      <c r="AA193" s="2076"/>
      <c r="AB193" s="2076"/>
      <c r="AC193" s="882"/>
      <c r="AD193" s="2066"/>
      <c r="AE193" s="2066"/>
      <c r="AF193" s="2066"/>
      <c r="AG193" s="2066"/>
      <c r="AH193" s="2066"/>
      <c r="AI193" s="2066"/>
      <c r="AJ193" s="2066"/>
      <c r="AK193" s="645"/>
    </row>
    <row r="194" spans="1:37">
      <c r="A194" s="640"/>
      <c r="B194" s="2076"/>
      <c r="C194" s="2076"/>
      <c r="D194" s="2076"/>
      <c r="E194" s="2076"/>
      <c r="F194" s="2076"/>
      <c r="G194" s="2076"/>
      <c r="H194" s="2076"/>
      <c r="I194" s="2076"/>
      <c r="J194" s="2076"/>
      <c r="K194" s="2076"/>
      <c r="L194" s="2076"/>
      <c r="M194" s="2076"/>
      <c r="N194" s="2076"/>
      <c r="O194" s="2076"/>
      <c r="P194" s="2076"/>
      <c r="Q194" s="2076"/>
      <c r="R194" s="2076"/>
      <c r="S194" s="2076"/>
      <c r="T194" s="2076"/>
      <c r="U194" s="2076"/>
      <c r="V194" s="2076"/>
      <c r="W194" s="2076"/>
      <c r="X194" s="2076"/>
      <c r="Y194" s="2076"/>
      <c r="Z194" s="2076"/>
      <c r="AA194" s="2076"/>
      <c r="AB194" s="2076"/>
      <c r="AC194" s="882"/>
      <c r="AD194" s="2066"/>
      <c r="AE194" s="2066"/>
      <c r="AF194" s="2066"/>
      <c r="AG194" s="2066"/>
      <c r="AH194" s="2066"/>
      <c r="AI194" s="2066"/>
      <c r="AJ194" s="2066"/>
      <c r="AK194" s="645"/>
    </row>
    <row r="195" spans="1:37">
      <c r="A195" s="640"/>
      <c r="B195" s="2076"/>
      <c r="C195" s="2076"/>
      <c r="D195" s="2076"/>
      <c r="E195" s="2076"/>
      <c r="F195" s="2076"/>
      <c r="G195" s="2076"/>
      <c r="H195" s="2076"/>
      <c r="I195" s="2076"/>
      <c r="J195" s="2076"/>
      <c r="K195" s="2076"/>
      <c r="L195" s="2076"/>
      <c r="M195" s="2076"/>
      <c r="N195" s="2076"/>
      <c r="O195" s="2076"/>
      <c r="P195" s="2076"/>
      <c r="Q195" s="2076"/>
      <c r="R195" s="2076"/>
      <c r="S195" s="2076"/>
      <c r="T195" s="2076"/>
      <c r="U195" s="2076"/>
      <c r="V195" s="2076"/>
      <c r="W195" s="2076"/>
      <c r="X195" s="2076"/>
      <c r="Y195" s="2076"/>
      <c r="Z195" s="2076"/>
      <c r="AA195" s="2076"/>
      <c r="AB195" s="2076"/>
      <c r="AC195" s="882"/>
      <c r="AD195" s="2066"/>
      <c r="AE195" s="2066"/>
      <c r="AF195" s="2066"/>
      <c r="AG195" s="2066"/>
      <c r="AH195" s="2066"/>
      <c r="AI195" s="2066"/>
      <c r="AJ195" s="2066"/>
      <c r="AK195" s="645"/>
    </row>
    <row r="196" spans="1:37">
      <c r="A196" s="640"/>
      <c r="B196" s="2076"/>
      <c r="C196" s="2076"/>
      <c r="D196" s="2076"/>
      <c r="E196" s="2076"/>
      <c r="F196" s="2076"/>
      <c r="G196" s="2076"/>
      <c r="H196" s="2076"/>
      <c r="I196" s="2076"/>
      <c r="J196" s="2076"/>
      <c r="K196" s="2076"/>
      <c r="L196" s="2076"/>
      <c r="M196" s="2076"/>
      <c r="N196" s="2076"/>
      <c r="O196" s="2076"/>
      <c r="P196" s="2076"/>
      <c r="Q196" s="2076"/>
      <c r="R196" s="2076"/>
      <c r="S196" s="2076"/>
      <c r="T196" s="2076"/>
      <c r="U196" s="2076"/>
      <c r="V196" s="2076"/>
      <c r="W196" s="2076"/>
      <c r="X196" s="2076"/>
      <c r="Y196" s="2076"/>
      <c r="Z196" s="2076"/>
      <c r="AA196" s="2076"/>
      <c r="AB196" s="2076"/>
      <c r="AC196" s="882"/>
      <c r="AD196" s="2066"/>
      <c r="AE196" s="2066"/>
      <c r="AF196" s="2066"/>
      <c r="AG196" s="2066"/>
      <c r="AH196" s="2066"/>
      <c r="AI196" s="2066"/>
      <c r="AJ196" s="2066"/>
      <c r="AK196" s="645"/>
    </row>
    <row r="197" spans="1:37">
      <c r="A197" s="640"/>
      <c r="B197" s="2076"/>
      <c r="C197" s="2076"/>
      <c r="D197" s="2076"/>
      <c r="E197" s="2076"/>
      <c r="F197" s="2076"/>
      <c r="G197" s="2076"/>
      <c r="H197" s="2076"/>
      <c r="I197" s="2076"/>
      <c r="J197" s="2076"/>
      <c r="K197" s="2076"/>
      <c r="L197" s="2076"/>
      <c r="M197" s="2076"/>
      <c r="N197" s="2076"/>
      <c r="O197" s="2076"/>
      <c r="P197" s="2076"/>
      <c r="Q197" s="2076"/>
      <c r="R197" s="2076"/>
      <c r="S197" s="2076"/>
      <c r="T197" s="2076"/>
      <c r="U197" s="2076"/>
      <c r="V197" s="2076"/>
      <c r="W197" s="2076"/>
      <c r="X197" s="2076"/>
      <c r="Y197" s="2076"/>
      <c r="Z197" s="2076"/>
      <c r="AA197" s="2076"/>
      <c r="AB197" s="2076"/>
      <c r="AC197" s="882"/>
      <c r="AD197" s="2066"/>
      <c r="AE197" s="2066"/>
      <c r="AF197" s="2066"/>
      <c r="AG197" s="2066"/>
      <c r="AH197" s="2066"/>
      <c r="AI197" s="2066"/>
      <c r="AJ197" s="2066"/>
      <c r="AK197" s="645"/>
    </row>
    <row r="198" spans="1:37">
      <c r="A198" s="640"/>
      <c r="B198" s="1941" t="s">
        <v>1806</v>
      </c>
      <c r="C198" s="1941"/>
      <c r="D198" s="1941"/>
      <c r="E198" s="1941"/>
      <c r="F198" s="1941"/>
      <c r="G198" s="1941"/>
      <c r="H198" s="1941"/>
      <c r="I198" s="1941"/>
      <c r="J198" s="1941"/>
      <c r="K198" s="1941"/>
      <c r="L198" s="1941"/>
      <c r="M198" s="1941"/>
      <c r="N198" s="1941"/>
      <c r="O198" s="1941"/>
      <c r="P198" s="1941"/>
      <c r="Q198" s="1941"/>
      <c r="R198" s="1941"/>
      <c r="S198" s="1941"/>
      <c r="T198" s="1941"/>
      <c r="U198" s="1941"/>
      <c r="V198" s="1941"/>
      <c r="W198" s="1941"/>
      <c r="X198" s="1941"/>
      <c r="Y198" s="1941"/>
      <c r="Z198" s="1941"/>
      <c r="AA198" s="1941"/>
      <c r="AB198" s="1941"/>
      <c r="AC198" s="571"/>
      <c r="AD198" s="2064">
        <f>AB249</f>
        <v>0</v>
      </c>
      <c r="AE198" s="2064"/>
      <c r="AF198" s="2064"/>
      <c r="AG198" s="2064"/>
      <c r="AH198" s="2064"/>
      <c r="AI198" s="2064"/>
      <c r="AJ198" s="2064"/>
      <c r="AK198" s="645"/>
    </row>
    <row r="199" spans="1:37">
      <c r="A199" s="640"/>
      <c r="B199" s="1939" t="s">
        <v>1769</v>
      </c>
      <c r="C199" s="1939"/>
      <c r="D199" s="1939"/>
      <c r="E199" s="1939"/>
      <c r="F199" s="1939"/>
      <c r="G199" s="1939"/>
      <c r="H199" s="1939"/>
      <c r="I199" s="1939"/>
      <c r="J199" s="1939"/>
      <c r="K199" s="1939"/>
      <c r="L199" s="1939"/>
      <c r="M199" s="1939"/>
      <c r="N199" s="1939"/>
      <c r="O199" s="1939"/>
      <c r="P199" s="1939"/>
      <c r="Q199" s="1939"/>
      <c r="R199" s="1939"/>
      <c r="S199" s="1939"/>
      <c r="T199" s="1939"/>
      <c r="U199" s="1939"/>
      <c r="V199" s="1939"/>
      <c r="W199" s="1939"/>
      <c r="X199" s="1939"/>
      <c r="Y199" s="1939"/>
      <c r="Z199" s="1939"/>
      <c r="AA199" s="1939"/>
      <c r="AB199" s="1939"/>
      <c r="AC199" s="882"/>
      <c r="AD199" s="2065">
        <f>'Sources and Uses Budget'!B15</f>
        <v>0</v>
      </c>
      <c r="AE199" s="2065"/>
      <c r="AF199" s="2065"/>
      <c r="AG199" s="2065"/>
      <c r="AH199" s="2065"/>
      <c r="AI199" s="2065"/>
      <c r="AJ199" s="2065"/>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70">
        <f>SUM(AD188:AJ198)-AD199</f>
        <v>5900000</v>
      </c>
      <c r="AE200" s="2070"/>
      <c r="AF200" s="2070"/>
      <c r="AG200" s="2070"/>
      <c r="AH200" s="2070"/>
      <c r="AI200" s="2070"/>
      <c r="AJ200" s="207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2418</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89" t="s">
        <v>1786</v>
      </c>
      <c r="J211" s="2089"/>
      <c r="K211" s="2089"/>
      <c r="L211" s="571"/>
      <c r="M211" s="571"/>
      <c r="N211" s="571"/>
      <c r="O211" s="571"/>
      <c r="P211" s="571"/>
      <c r="Q211" s="571"/>
      <c r="R211" s="571"/>
      <c r="S211" s="571"/>
      <c r="T211" s="1905" t="s">
        <v>1780</v>
      </c>
      <c r="U211" s="1905"/>
      <c r="V211" s="1905"/>
      <c r="W211" s="1905"/>
      <c r="X211" s="1905"/>
      <c r="Y211" s="1905"/>
      <c r="Z211" s="885"/>
      <c r="AA211" s="524"/>
      <c r="AB211" s="2086" t="s">
        <v>1781</v>
      </c>
      <c r="AC211" s="2086"/>
      <c r="AD211" s="2086"/>
      <c r="AE211" s="2086"/>
      <c r="AF211" s="2086"/>
      <c r="AG211" s="2086"/>
      <c r="AH211" s="863"/>
      <c r="AI211" s="863"/>
      <c r="AJ211" s="863"/>
      <c r="AK211" s="645"/>
    </row>
    <row r="212" spans="1:37">
      <c r="A212" s="640"/>
      <c r="B212" s="2087" t="s">
        <v>1766</v>
      </c>
      <c r="C212" s="2087"/>
      <c r="D212" s="2087"/>
      <c r="E212" s="2087"/>
      <c r="F212" s="2087"/>
      <c r="G212" s="2087"/>
      <c r="I212" s="2088" t="s">
        <v>1787</v>
      </c>
      <c r="J212" s="2088"/>
      <c r="K212" s="2088"/>
      <c r="L212" s="1042"/>
      <c r="N212" s="1940" t="s">
        <v>1782</v>
      </c>
      <c r="O212" s="1940"/>
      <c r="P212" s="1940"/>
      <c r="Q212" s="1940"/>
      <c r="R212" s="1940"/>
      <c r="T212" s="1940" t="s">
        <v>1783</v>
      </c>
      <c r="U212" s="1940"/>
      <c r="V212" s="1940"/>
      <c r="W212" s="1940"/>
      <c r="X212" s="1940"/>
      <c r="Y212" s="1940"/>
      <c r="Z212" s="886"/>
      <c r="AA212" s="524"/>
      <c r="AB212" s="1943" t="s">
        <v>1784</v>
      </c>
      <c r="AC212" s="1943"/>
      <c r="AD212" s="1943"/>
      <c r="AE212" s="1943"/>
      <c r="AF212" s="1943"/>
      <c r="AG212" s="1943"/>
      <c r="AH212" s="863"/>
      <c r="AI212" s="863"/>
      <c r="AJ212" s="863"/>
      <c r="AK212" s="645"/>
    </row>
    <row r="213" spans="1:37">
      <c r="A213" s="640"/>
      <c r="B213" s="1942" t="s">
        <v>1328</v>
      </c>
      <c r="C213" s="1942"/>
      <c r="D213" s="1942"/>
      <c r="E213" s="1942"/>
      <c r="F213" s="1942"/>
      <c r="G213" s="1942"/>
      <c r="H213" s="888"/>
      <c r="I213" s="1910"/>
      <c r="J213" s="1910"/>
      <c r="K213" s="1910"/>
      <c r="L213" s="1042"/>
      <c r="N213" s="1907"/>
      <c r="O213" s="1907"/>
      <c r="P213" s="1907"/>
      <c r="Q213" s="1907"/>
      <c r="R213" s="1907"/>
      <c r="T213" s="1906"/>
      <c r="U213" s="1906"/>
      <c r="V213" s="1906"/>
      <c r="W213" s="1906"/>
      <c r="X213" s="1906"/>
      <c r="Y213" s="1906"/>
      <c r="Z213" s="887"/>
      <c r="AA213" s="887"/>
      <c r="AB213" s="1904">
        <f t="shared" ref="AB213:AB222" si="0">MAX(($T213-$N213)*$I213*12,0)</f>
        <v>0</v>
      </c>
      <c r="AC213" s="1904"/>
      <c r="AD213" s="1904"/>
      <c r="AE213" s="1904"/>
      <c r="AF213" s="1904"/>
      <c r="AG213" s="1904"/>
      <c r="AH213" s="863"/>
      <c r="AI213" s="863"/>
      <c r="AJ213" s="863"/>
      <c r="AK213" s="645"/>
    </row>
    <row r="214" spans="1:37">
      <c r="A214" s="640"/>
      <c r="B214" s="1942" t="s">
        <v>1328</v>
      </c>
      <c r="C214" s="1942"/>
      <c r="D214" s="1942"/>
      <c r="E214" s="1942"/>
      <c r="F214" s="1942"/>
      <c r="G214" s="1942"/>
      <c r="I214" s="1910"/>
      <c r="J214" s="1910"/>
      <c r="K214" s="1910"/>
      <c r="L214" s="1042"/>
      <c r="N214" s="1907"/>
      <c r="O214" s="1907"/>
      <c r="P214" s="1907"/>
      <c r="Q214" s="1907"/>
      <c r="R214" s="1907"/>
      <c r="T214" s="1906"/>
      <c r="U214" s="1906"/>
      <c r="V214" s="1906"/>
      <c r="W214" s="1906"/>
      <c r="X214" s="1906"/>
      <c r="Y214" s="1906"/>
      <c r="Z214" s="887"/>
      <c r="AA214" s="887"/>
      <c r="AB214" s="1904">
        <f t="shared" si="0"/>
        <v>0</v>
      </c>
      <c r="AC214" s="1904"/>
      <c r="AD214" s="1904"/>
      <c r="AE214" s="1904"/>
      <c r="AF214" s="1904"/>
      <c r="AG214" s="1904"/>
      <c r="AH214" s="863"/>
      <c r="AI214" s="863"/>
      <c r="AJ214" s="863"/>
      <c r="AK214" s="645"/>
    </row>
    <row r="215" spans="1:37">
      <c r="A215" s="640"/>
      <c r="B215" s="1942" t="s">
        <v>1328</v>
      </c>
      <c r="C215" s="1942"/>
      <c r="D215" s="1942"/>
      <c r="E215" s="1942"/>
      <c r="F215" s="1942"/>
      <c r="G215" s="1942"/>
      <c r="I215" s="1910"/>
      <c r="J215" s="1910"/>
      <c r="K215" s="1910"/>
      <c r="L215" s="1042"/>
      <c r="N215" s="1907"/>
      <c r="O215" s="1907"/>
      <c r="P215" s="1907"/>
      <c r="Q215" s="1907"/>
      <c r="R215" s="1907"/>
      <c r="T215" s="1906"/>
      <c r="U215" s="1906"/>
      <c r="V215" s="1906"/>
      <c r="W215" s="1906"/>
      <c r="X215" s="1906"/>
      <c r="Y215" s="1906"/>
      <c r="Z215" s="887"/>
      <c r="AA215" s="887"/>
      <c r="AB215" s="1904">
        <f t="shared" si="0"/>
        <v>0</v>
      </c>
      <c r="AC215" s="1904"/>
      <c r="AD215" s="1904"/>
      <c r="AE215" s="1904"/>
      <c r="AF215" s="1904"/>
      <c r="AG215" s="1904"/>
      <c r="AH215" s="863"/>
      <c r="AI215" s="863"/>
      <c r="AJ215" s="863"/>
      <c r="AK215" s="645"/>
    </row>
    <row r="216" spans="1:37">
      <c r="A216" s="640"/>
      <c r="B216" s="1942" t="s">
        <v>1328</v>
      </c>
      <c r="C216" s="1942"/>
      <c r="D216" s="1942"/>
      <c r="E216" s="1942"/>
      <c r="F216" s="1942"/>
      <c r="G216" s="1942"/>
      <c r="I216" s="1910"/>
      <c r="J216" s="1910"/>
      <c r="K216" s="1910"/>
      <c r="L216" s="1042"/>
      <c r="N216" s="1907"/>
      <c r="O216" s="1907"/>
      <c r="P216" s="1907"/>
      <c r="Q216" s="1907"/>
      <c r="R216" s="1907"/>
      <c r="T216" s="1906"/>
      <c r="U216" s="1906"/>
      <c r="V216" s="1906"/>
      <c r="W216" s="1906"/>
      <c r="X216" s="1906"/>
      <c r="Y216" s="1906"/>
      <c r="Z216" s="887"/>
      <c r="AA216" s="887"/>
      <c r="AB216" s="1904">
        <f t="shared" si="0"/>
        <v>0</v>
      </c>
      <c r="AC216" s="1904"/>
      <c r="AD216" s="1904"/>
      <c r="AE216" s="1904"/>
      <c r="AF216" s="1904"/>
      <c r="AG216" s="1904"/>
      <c r="AH216" s="863"/>
      <c r="AI216" s="863"/>
      <c r="AJ216" s="863"/>
      <c r="AK216" s="645"/>
    </row>
    <row r="217" spans="1:37">
      <c r="A217" s="640"/>
      <c r="B217" s="1942" t="s">
        <v>1328</v>
      </c>
      <c r="C217" s="1942"/>
      <c r="D217" s="1942"/>
      <c r="E217" s="1942"/>
      <c r="F217" s="1942"/>
      <c r="G217" s="1942"/>
      <c r="I217" s="1910"/>
      <c r="J217" s="1910"/>
      <c r="K217" s="1910"/>
      <c r="L217" s="1049"/>
      <c r="N217" s="1907"/>
      <c r="O217" s="1907"/>
      <c r="P217" s="1907"/>
      <c r="Q217" s="1907"/>
      <c r="R217" s="1907"/>
      <c r="T217" s="1906"/>
      <c r="U217" s="1906"/>
      <c r="V217" s="1906"/>
      <c r="W217" s="1906"/>
      <c r="X217" s="1906"/>
      <c r="Y217" s="1906"/>
      <c r="Z217" s="887"/>
      <c r="AA217" s="887"/>
      <c r="AB217" s="1904">
        <f t="shared" si="0"/>
        <v>0</v>
      </c>
      <c r="AC217" s="1904"/>
      <c r="AD217" s="1904"/>
      <c r="AE217" s="1904"/>
      <c r="AF217" s="1904"/>
      <c r="AG217" s="1904"/>
      <c r="AH217" s="863"/>
      <c r="AI217" s="863"/>
      <c r="AJ217" s="863"/>
      <c r="AK217" s="645"/>
    </row>
    <row r="218" spans="1:37">
      <c r="A218" s="640"/>
      <c r="B218" s="1942" t="s">
        <v>1328</v>
      </c>
      <c r="C218" s="1942"/>
      <c r="D218" s="1942"/>
      <c r="E218" s="1942"/>
      <c r="F218" s="1942"/>
      <c r="G218" s="1942"/>
      <c r="I218" s="1910"/>
      <c r="J218" s="1910"/>
      <c r="K218" s="1910"/>
      <c r="L218" s="1049"/>
      <c r="N218" s="1907"/>
      <c r="O218" s="1907"/>
      <c r="P218" s="1907"/>
      <c r="Q218" s="1907"/>
      <c r="R218" s="1907"/>
      <c r="T218" s="1906"/>
      <c r="U218" s="1906"/>
      <c r="V218" s="1906"/>
      <c r="W218" s="1906"/>
      <c r="X218" s="1906"/>
      <c r="Y218" s="1906"/>
      <c r="Z218" s="887"/>
      <c r="AA218" s="887"/>
      <c r="AB218" s="1904">
        <f t="shared" si="0"/>
        <v>0</v>
      </c>
      <c r="AC218" s="1904"/>
      <c r="AD218" s="1904"/>
      <c r="AE218" s="1904"/>
      <c r="AF218" s="1904"/>
      <c r="AG218" s="1904"/>
      <c r="AH218" s="863"/>
      <c r="AI218" s="863"/>
      <c r="AJ218" s="863"/>
      <c r="AK218" s="645"/>
    </row>
    <row r="219" spans="1:37">
      <c r="A219" s="640"/>
      <c r="B219" s="1942" t="s">
        <v>1328</v>
      </c>
      <c r="C219" s="1942"/>
      <c r="D219" s="1942"/>
      <c r="E219" s="1942"/>
      <c r="F219" s="1942"/>
      <c r="G219" s="1942"/>
      <c r="I219" s="1910"/>
      <c r="J219" s="1910"/>
      <c r="K219" s="1910"/>
      <c r="L219" s="1049"/>
      <c r="N219" s="1907"/>
      <c r="O219" s="1907"/>
      <c r="P219" s="1907"/>
      <c r="Q219" s="1907"/>
      <c r="R219" s="1907"/>
      <c r="T219" s="1906"/>
      <c r="U219" s="1906"/>
      <c r="V219" s="1906"/>
      <c r="W219" s="1906"/>
      <c r="X219" s="1906"/>
      <c r="Y219" s="1906"/>
      <c r="Z219" s="887"/>
      <c r="AA219" s="887"/>
      <c r="AB219" s="1904">
        <f t="shared" si="0"/>
        <v>0</v>
      </c>
      <c r="AC219" s="1904"/>
      <c r="AD219" s="1904"/>
      <c r="AE219" s="1904"/>
      <c r="AF219" s="1904"/>
      <c r="AG219" s="1904"/>
      <c r="AH219" s="863"/>
      <c r="AI219" s="863"/>
      <c r="AJ219" s="863"/>
      <c r="AK219" s="645"/>
    </row>
    <row r="220" spans="1:37">
      <c r="A220" s="640"/>
      <c r="B220" s="1942" t="s">
        <v>1328</v>
      </c>
      <c r="C220" s="1942"/>
      <c r="D220" s="1942"/>
      <c r="E220" s="1942"/>
      <c r="F220" s="1942"/>
      <c r="G220" s="1942"/>
      <c r="I220" s="1910"/>
      <c r="J220" s="1910"/>
      <c r="K220" s="1910"/>
      <c r="L220" s="1049"/>
      <c r="N220" s="1907"/>
      <c r="O220" s="1907"/>
      <c r="P220" s="1907"/>
      <c r="Q220" s="1907"/>
      <c r="R220" s="1907"/>
      <c r="T220" s="1906"/>
      <c r="U220" s="1906"/>
      <c r="V220" s="1906"/>
      <c r="W220" s="1906"/>
      <c r="X220" s="1906"/>
      <c r="Y220" s="1906"/>
      <c r="Z220" s="887"/>
      <c r="AA220" s="887"/>
      <c r="AB220" s="1904">
        <f t="shared" si="0"/>
        <v>0</v>
      </c>
      <c r="AC220" s="1904"/>
      <c r="AD220" s="1904"/>
      <c r="AE220" s="1904"/>
      <c r="AF220" s="1904"/>
      <c r="AG220" s="1904"/>
      <c r="AH220" s="863"/>
      <c r="AI220" s="863"/>
      <c r="AJ220" s="863"/>
      <c r="AK220" s="645"/>
    </row>
    <row r="221" spans="1:37">
      <c r="A221" s="640"/>
      <c r="B221" s="1942" t="s">
        <v>1328</v>
      </c>
      <c r="C221" s="1942"/>
      <c r="D221" s="1942"/>
      <c r="E221" s="1942"/>
      <c r="F221" s="1942"/>
      <c r="G221" s="1942"/>
      <c r="I221" s="1910"/>
      <c r="J221" s="1910"/>
      <c r="K221" s="1910"/>
      <c r="L221" s="1049"/>
      <c r="N221" s="1907"/>
      <c r="O221" s="1907"/>
      <c r="P221" s="1907"/>
      <c r="Q221" s="1907"/>
      <c r="R221" s="1907"/>
      <c r="T221" s="1906"/>
      <c r="U221" s="1906"/>
      <c r="V221" s="1906"/>
      <c r="W221" s="1906"/>
      <c r="X221" s="1906"/>
      <c r="Y221" s="1906"/>
      <c r="Z221" s="887"/>
      <c r="AA221" s="887"/>
      <c r="AB221" s="1904">
        <f t="shared" si="0"/>
        <v>0</v>
      </c>
      <c r="AC221" s="1904"/>
      <c r="AD221" s="1904"/>
      <c r="AE221" s="1904"/>
      <c r="AF221" s="1904"/>
      <c r="AG221" s="1904"/>
      <c r="AH221" s="863"/>
      <c r="AI221" s="863"/>
      <c r="AJ221" s="863"/>
      <c r="AK221" s="645"/>
    </row>
    <row r="222" spans="1:37">
      <c r="A222" s="640"/>
      <c r="B222" s="1942" t="s">
        <v>1328</v>
      </c>
      <c r="C222" s="1942"/>
      <c r="D222" s="1942"/>
      <c r="E222" s="1942"/>
      <c r="F222" s="1942"/>
      <c r="G222" s="1942"/>
      <c r="I222" s="2090"/>
      <c r="J222" s="2090"/>
      <c r="K222" s="2090"/>
      <c r="L222" s="1049"/>
      <c r="N222" s="1907"/>
      <c r="O222" s="1907"/>
      <c r="P222" s="1907"/>
      <c r="Q222" s="1907"/>
      <c r="R222" s="1907"/>
      <c r="T222" s="1906"/>
      <c r="U222" s="1906"/>
      <c r="V222" s="1906"/>
      <c r="W222" s="1906"/>
      <c r="X222" s="1906"/>
      <c r="Y222" s="1906"/>
      <c r="Z222" s="887"/>
      <c r="AA222" s="887"/>
      <c r="AB222" s="1911">
        <f t="shared" si="0"/>
        <v>0</v>
      </c>
      <c r="AC222" s="1911"/>
      <c r="AD222" s="1911"/>
      <c r="AE222" s="1911"/>
      <c r="AF222" s="1911"/>
      <c r="AG222" s="191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04">
        <f>SUM(AB213:AB222)</f>
        <v>0</v>
      </c>
      <c r="AC223" s="1904"/>
      <c r="AD223" s="1904"/>
      <c r="AE223" s="1904"/>
      <c r="AF223" s="1904"/>
      <c r="AG223" s="190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4"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44"/>
      <c r="AC229" s="1944"/>
      <c r="AD229" s="1944"/>
      <c r="AE229" s="1944"/>
      <c r="AF229" s="1944"/>
      <c r="AG229" s="1944"/>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44"/>
      <c r="AC232" s="1944"/>
      <c r="AD232" s="1944"/>
      <c r="AE232" s="1944"/>
      <c r="AF232" s="1944"/>
      <c r="AG232" s="1944"/>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903"/>
      <c r="AC233" s="1903"/>
      <c r="AD233" s="1903"/>
      <c r="AE233" s="1903"/>
      <c r="AF233" s="1903"/>
      <c r="AG233" s="1903"/>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12">
        <f>IFERROR(AB232/AB233,0)</f>
        <v>0</v>
      </c>
      <c r="AC234" s="1912"/>
      <c r="AD234" s="1912"/>
      <c r="AE234" s="1912"/>
      <c r="AF234" s="1912"/>
      <c r="AG234" s="191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11">
        <f>MAX(AB229,AB234)</f>
        <v>0</v>
      </c>
      <c r="AC236" s="1911"/>
      <c r="AD236" s="1911"/>
      <c r="AE236" s="1911"/>
      <c r="AF236" s="1911"/>
      <c r="AG236" s="191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04">
        <f>AB223+AB236</f>
        <v>0</v>
      </c>
      <c r="AC239" s="1904"/>
      <c r="AD239" s="1904"/>
      <c r="AE239" s="1904"/>
      <c r="AF239" s="1904"/>
      <c r="AG239" s="1904"/>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74">
        <v>0.05</v>
      </c>
      <c r="AC240" s="2074"/>
      <c r="AD240" s="2074"/>
      <c r="AE240" s="2074"/>
      <c r="AF240" s="2074"/>
      <c r="AG240" s="2074"/>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75">
        <f>AB239-(AB239*AB240)</f>
        <v>0</v>
      </c>
      <c r="AC241" s="2075"/>
      <c r="AD241" s="2075"/>
      <c r="AE241" s="2075"/>
      <c r="AF241" s="2075"/>
      <c r="AG241" s="2075"/>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04">
        <f>AB241/AB247</f>
        <v>0</v>
      </c>
      <c r="AC243" s="1904"/>
      <c r="AD243" s="1904"/>
      <c r="AE243" s="1904"/>
      <c r="AF243" s="1904"/>
      <c r="AG243" s="190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86">
        <v>15</v>
      </c>
      <c r="AC245" s="2086"/>
      <c r="AD245" s="2086"/>
      <c r="AE245" s="2086"/>
      <c r="AF245" s="2086"/>
      <c r="AG245" s="2086"/>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77">
        <v>0.04</v>
      </c>
      <c r="AC246" s="2077"/>
      <c r="AD246" s="2077"/>
      <c r="AE246" s="2077"/>
      <c r="AF246" s="2077"/>
      <c r="AG246" s="2077"/>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78">
        <v>1.1499999999999999</v>
      </c>
      <c r="AC247" s="2078"/>
      <c r="AD247" s="2078"/>
      <c r="AE247" s="2078"/>
      <c r="AF247" s="2078"/>
      <c r="AG247" s="207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67">
        <f>PV(AB246/12,AB245*12,-AB243/12, ,0)</f>
        <v>0</v>
      </c>
      <c r="AC249" s="2068"/>
      <c r="AD249" s="2068"/>
      <c r="AE249" s="2068"/>
      <c r="AF249" s="2068"/>
      <c r="AG249" s="206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71">
        <f>IFERROR(('Sources and Uses Budget'!D105/'Sources and Uses Budget'!B105),0)</f>
        <v>0</v>
      </c>
      <c r="AC255" s="2072"/>
      <c r="AD255" s="2072"/>
      <c r="AE255" s="2072"/>
      <c r="AF255" s="2072"/>
      <c r="AG255" s="207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18">
        <f>AD200*(1-AB255)</f>
        <v>5900000</v>
      </c>
      <c r="AH257" s="1918"/>
      <c r="AI257" s="1918"/>
      <c r="AJ257" s="1918"/>
      <c r="AK257" s="1918"/>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18">
        <f>'Sources and Uses Budget'!C105</f>
        <v>72409545</v>
      </c>
      <c r="AH258" s="1918"/>
      <c r="AI258" s="1918"/>
      <c r="AJ258" s="1918"/>
      <c r="AK258" s="191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63">
        <f>ROUNDDOWN(IF(AND(C281="Yes",AK78=10),((AG257*2)/AG258),AG257/AG258),2)</f>
        <v>0.08</v>
      </c>
      <c r="AH259" s="2063"/>
      <c r="AI259" s="2063"/>
      <c r="AJ259" s="2063"/>
      <c r="AK259" s="2063"/>
    </row>
    <row r="260" spans="1:52">
      <c r="A260" s="657"/>
      <c r="B260" s="1012"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1"/>
      <c r="AH260" s="1011"/>
      <c r="AI260" s="1011"/>
      <c r="AJ260" s="1011"/>
      <c r="AK260" s="1011"/>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52">
        <f>IFERROR(IF(AG259=0,0,IF((AG259*100)&gt;8,8,(AG259*100))),0)</f>
        <v>8</v>
      </c>
      <c r="AL262" s="2052"/>
      <c r="AM262" s="2053"/>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36" t="s">
        <v>555</v>
      </c>
      <c r="D267" s="1936"/>
      <c r="E267" s="582"/>
      <c r="F267" s="1887" t="s">
        <v>2419</v>
      </c>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9"/>
      <c r="AE267" s="585"/>
      <c r="AF267" s="670"/>
      <c r="AG267" s="2061" t="s">
        <v>1537</v>
      </c>
      <c r="AH267" s="2061"/>
      <c r="AI267" s="2061"/>
      <c r="AJ267" s="2061"/>
      <c r="AK267" s="585"/>
      <c r="AL267" s="585"/>
      <c r="AM267" s="585"/>
      <c r="AO267" s="585"/>
    </row>
    <row r="268" spans="1:52" ht="13.7" customHeight="1">
      <c r="A268" s="585"/>
      <c r="B268" s="631"/>
      <c r="C268" s="671"/>
      <c r="D268" s="585"/>
      <c r="E268" s="582"/>
      <c r="F268" s="1890"/>
      <c r="G268" s="1891"/>
      <c r="H268" s="1891"/>
      <c r="I268" s="1891"/>
      <c r="J268" s="1891"/>
      <c r="K268" s="1891"/>
      <c r="L268" s="1891"/>
      <c r="M268" s="1891"/>
      <c r="N268" s="1891"/>
      <c r="O268" s="1891"/>
      <c r="P268" s="1891"/>
      <c r="Q268" s="1891"/>
      <c r="R268" s="1891"/>
      <c r="S268" s="1891"/>
      <c r="T268" s="1891"/>
      <c r="U268" s="1891"/>
      <c r="V268" s="1891"/>
      <c r="W268" s="1891"/>
      <c r="X268" s="1891"/>
      <c r="Y268" s="1891"/>
      <c r="Z268" s="1891"/>
      <c r="AA268" s="1891"/>
      <c r="AB268" s="1891"/>
      <c r="AC268" s="1891"/>
      <c r="AD268" s="1892"/>
      <c r="AE268" s="585"/>
      <c r="AF268" s="670"/>
      <c r="AG268" s="670"/>
      <c r="AH268" s="670"/>
      <c r="AI268" s="670"/>
      <c r="AJ268" s="585"/>
      <c r="AK268" s="585"/>
      <c r="AL268" s="585"/>
      <c r="AM268" s="585"/>
      <c r="AO268" s="585"/>
    </row>
    <row r="269" spans="1:52">
      <c r="A269" s="585"/>
      <c r="B269" s="631"/>
      <c r="C269" s="671"/>
      <c r="D269" s="585"/>
      <c r="E269" s="582"/>
      <c r="F269" s="1890"/>
      <c r="G269" s="1891"/>
      <c r="H269" s="1891"/>
      <c r="I269" s="1891"/>
      <c r="J269" s="1891"/>
      <c r="K269" s="1891"/>
      <c r="L269" s="1891"/>
      <c r="M269" s="1891"/>
      <c r="N269" s="1891"/>
      <c r="O269" s="1891"/>
      <c r="P269" s="1891"/>
      <c r="Q269" s="1891"/>
      <c r="R269" s="1891"/>
      <c r="S269" s="1891"/>
      <c r="T269" s="1891"/>
      <c r="U269" s="1891"/>
      <c r="V269" s="1891"/>
      <c r="W269" s="1891"/>
      <c r="X269" s="1891"/>
      <c r="Y269" s="1891"/>
      <c r="Z269" s="1891"/>
      <c r="AA269" s="1891"/>
      <c r="AB269" s="1891"/>
      <c r="AC269" s="1891"/>
      <c r="AD269" s="1892"/>
      <c r="AE269" s="585"/>
      <c r="AF269" s="670"/>
      <c r="AG269" s="670"/>
      <c r="AH269" s="670"/>
      <c r="AI269" s="670"/>
      <c r="AJ269" s="585"/>
      <c r="AK269" s="585"/>
      <c r="AL269" s="585"/>
      <c r="AM269" s="585"/>
      <c r="AO269" s="585"/>
      <c r="AP269" s="672"/>
    </row>
    <row r="270" spans="1:52">
      <c r="A270" s="585"/>
      <c r="B270" s="631"/>
      <c r="C270" s="671"/>
      <c r="D270" s="585"/>
      <c r="E270" s="582"/>
      <c r="F270" s="1890"/>
      <c r="G270" s="1891"/>
      <c r="H270" s="1891"/>
      <c r="I270" s="1891"/>
      <c r="J270" s="1891"/>
      <c r="K270" s="1891"/>
      <c r="L270" s="1891"/>
      <c r="M270" s="1891"/>
      <c r="N270" s="1891"/>
      <c r="O270" s="1891"/>
      <c r="P270" s="1891"/>
      <c r="Q270" s="1891"/>
      <c r="R270" s="1891"/>
      <c r="S270" s="1891"/>
      <c r="T270" s="1891"/>
      <c r="U270" s="1891"/>
      <c r="V270" s="1891"/>
      <c r="W270" s="1891"/>
      <c r="X270" s="1891"/>
      <c r="Y270" s="1891"/>
      <c r="Z270" s="1891"/>
      <c r="AA270" s="1891"/>
      <c r="AB270" s="1891"/>
      <c r="AC270" s="1891"/>
      <c r="AD270" s="1892"/>
      <c r="AE270" s="585"/>
      <c r="AF270" s="670"/>
      <c r="AG270" s="670"/>
      <c r="AH270" s="670"/>
      <c r="AI270" s="670"/>
      <c r="AJ270" s="585"/>
      <c r="AK270" s="585"/>
      <c r="AL270" s="585"/>
      <c r="AM270" s="585"/>
      <c r="AO270" s="585"/>
      <c r="AP270" s="672"/>
    </row>
    <row r="271" spans="1:52" ht="13.7" customHeight="1">
      <c r="A271" s="585"/>
      <c r="B271" s="631"/>
      <c r="C271" s="2062"/>
      <c r="D271" s="2062"/>
      <c r="E271" s="582"/>
      <c r="F271" s="1893"/>
      <c r="G271" s="1894"/>
      <c r="H271" s="1894"/>
      <c r="I271" s="1894"/>
      <c r="J271" s="1894"/>
      <c r="K271" s="1894"/>
      <c r="L271" s="1894"/>
      <c r="M271" s="1894"/>
      <c r="N271" s="1894"/>
      <c r="O271" s="1894"/>
      <c r="P271" s="1894"/>
      <c r="Q271" s="1894"/>
      <c r="R271" s="1894"/>
      <c r="S271" s="1894"/>
      <c r="T271" s="1894"/>
      <c r="U271" s="1894"/>
      <c r="V271" s="1894"/>
      <c r="W271" s="1894"/>
      <c r="X271" s="1894"/>
      <c r="Y271" s="1894"/>
      <c r="Z271" s="1894"/>
      <c r="AA271" s="1894"/>
      <c r="AB271" s="1894"/>
      <c r="AC271" s="1894"/>
      <c r="AD271" s="1895"/>
      <c r="AE271" s="585"/>
      <c r="AF271" s="670"/>
      <c r="AG271" s="2061"/>
      <c r="AH271" s="2061"/>
      <c r="AI271" s="2061"/>
      <c r="AJ271" s="2061"/>
      <c r="AK271" s="585"/>
      <c r="AL271" s="585"/>
      <c r="AM271" s="585"/>
    </row>
    <row r="272" spans="1:52" ht="13.7" hidden="1" customHeight="1">
      <c r="A272" s="585"/>
      <c r="C272" s="638"/>
      <c r="D272" s="638"/>
      <c r="E272" s="638"/>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52">
        <f>IF($C$267="yes",10,0)</f>
        <v>10</v>
      </c>
      <c r="AL274" s="2052"/>
      <c r="AM274" s="2053"/>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31" t="s">
        <v>1556</v>
      </c>
      <c r="B281" s="1631"/>
      <c r="C281" s="2029" t="s">
        <v>601</v>
      </c>
      <c r="D281" s="1936"/>
      <c r="E281" s="582"/>
      <c r="F281" s="2054" t="s">
        <v>1557</v>
      </c>
      <c r="G281" s="2055"/>
      <c r="H281" s="2055"/>
      <c r="I281" s="2055"/>
      <c r="J281" s="2055"/>
      <c r="K281" s="2055"/>
      <c r="L281" s="2055"/>
      <c r="M281" s="2055"/>
      <c r="N281" s="2055"/>
      <c r="O281" s="2055"/>
      <c r="P281" s="2055"/>
      <c r="Q281" s="2055"/>
      <c r="R281" s="2055"/>
      <c r="S281" s="2055"/>
      <c r="T281" s="2055"/>
      <c r="U281" s="2055"/>
      <c r="V281" s="2055"/>
      <c r="W281" s="2055"/>
      <c r="X281" s="2055"/>
      <c r="Y281" s="2055"/>
      <c r="Z281" s="2055"/>
      <c r="AA281" s="2055"/>
      <c r="AB281" s="2055"/>
      <c r="AC281" s="2055"/>
      <c r="AD281" s="2056"/>
      <c r="AE281" s="677"/>
      <c r="AF281" s="585"/>
      <c r="AG281" s="2057" t="s">
        <v>2412</v>
      </c>
      <c r="AH281" s="2057"/>
      <c r="AI281" s="2057"/>
      <c r="AJ281" s="2057"/>
      <c r="AK281" s="2057"/>
      <c r="AL281" s="585"/>
      <c r="AM281" s="585"/>
      <c r="AN281" s="73"/>
      <c r="AO281" s="14"/>
      <c r="AP281" s="30"/>
      <c r="AS281" s="605"/>
      <c r="AT281" s="605"/>
      <c r="AU281" s="605"/>
      <c r="AV281" s="32"/>
      <c r="AW281" s="32"/>
    </row>
    <row r="282" spans="1:49">
      <c r="A282" s="675"/>
      <c r="B282" s="631"/>
      <c r="F282" s="1913"/>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c r="AA282" s="1914"/>
      <c r="AB282" s="1914"/>
      <c r="AC282" s="1914"/>
      <c r="AD282" s="1915"/>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13"/>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c r="AA283" s="1914"/>
      <c r="AB283" s="1914"/>
      <c r="AC283" s="1914"/>
      <c r="AD283" s="1915"/>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13" t="s">
        <v>2420</v>
      </c>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c r="AA284" s="1914"/>
      <c r="AB284" s="1914"/>
      <c r="AC284" s="1914"/>
      <c r="AD284" s="1915"/>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c r="A285" s="675"/>
      <c r="B285" s="631"/>
      <c r="F285" s="1913"/>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c r="AA285" s="1914"/>
      <c r="AB285" s="1914"/>
      <c r="AC285" s="1914"/>
      <c r="AD285" s="191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13" t="s">
        <v>1558</v>
      </c>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c r="AA286" s="1914"/>
      <c r="AB286" s="1914"/>
      <c r="AC286" s="1914"/>
      <c r="AD286" s="191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13"/>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c r="AA287" s="1914"/>
      <c r="AB287" s="1914"/>
      <c r="AC287" s="1914"/>
      <c r="AD287" s="191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13" t="s">
        <v>1559</v>
      </c>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c r="AA288" s="1914"/>
      <c r="AB288" s="1914"/>
      <c r="AC288" s="1914"/>
      <c r="AD288" s="191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16"/>
      <c r="G289" s="1917"/>
      <c r="H289" s="1917"/>
      <c r="I289" s="1917"/>
      <c r="J289" s="1917"/>
      <c r="K289" s="1917"/>
      <c r="L289" s="1917"/>
      <c r="M289" s="1917"/>
      <c r="N289" s="1917"/>
      <c r="O289" s="1917"/>
      <c r="P289" s="1917"/>
      <c r="Q289" s="1917"/>
      <c r="R289" s="1917"/>
      <c r="S289" s="1917"/>
      <c r="T289" s="1917"/>
      <c r="U289" s="1917"/>
      <c r="V289" s="1917"/>
      <c r="W289" s="1917"/>
      <c r="X289" s="1917"/>
      <c r="Y289" s="1917"/>
      <c r="Z289" s="1917"/>
      <c r="AA289" s="1917"/>
      <c r="AB289" s="1917"/>
      <c r="AC289" s="1917"/>
      <c r="AD289" s="205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31" t="s">
        <v>1560</v>
      </c>
      <c r="B291" s="1631"/>
      <c r="C291" s="1936" t="s">
        <v>555</v>
      </c>
      <c r="D291" s="1936"/>
      <c r="E291" s="582"/>
      <c r="F291" s="679" t="s">
        <v>2413</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36" t="s">
        <v>2414</v>
      </c>
      <c r="G292" s="2037"/>
      <c r="H292" s="2037"/>
      <c r="I292" s="2037"/>
      <c r="J292" s="2037"/>
      <c r="K292" s="2037"/>
      <c r="L292" s="2037"/>
      <c r="M292" s="2037"/>
      <c r="N292" s="2037"/>
      <c r="O292" s="2037"/>
      <c r="P292" s="2037"/>
      <c r="Q292" s="2037"/>
      <c r="R292" s="2037"/>
      <c r="S292" s="2037"/>
      <c r="T292" s="2037"/>
      <c r="U292" s="2037"/>
      <c r="V292" s="2037"/>
      <c r="W292" s="2037"/>
      <c r="X292" s="2037"/>
      <c r="Y292" s="2037"/>
      <c r="Z292" s="2037"/>
      <c r="AA292" s="2037"/>
      <c r="AB292" s="2037"/>
      <c r="AC292" s="2037"/>
      <c r="AD292" s="2038"/>
      <c r="AE292" s="586"/>
      <c r="AF292" s="586"/>
      <c r="AG292" s="586"/>
      <c r="AH292" s="586"/>
      <c r="AI292" s="586"/>
      <c r="AJ292" s="585"/>
      <c r="AK292" s="585"/>
      <c r="AL292" s="585"/>
      <c r="AM292" s="585"/>
      <c r="AR292" s="683"/>
    </row>
    <row r="293" spans="1:49" ht="15" customHeight="1">
      <c r="A293" s="585"/>
      <c r="B293" s="586"/>
      <c r="C293" s="585"/>
      <c r="D293" s="586"/>
      <c r="E293" s="585"/>
      <c r="F293" s="2036"/>
      <c r="G293" s="2037"/>
      <c r="H293" s="2037"/>
      <c r="I293" s="2037"/>
      <c r="J293" s="2037"/>
      <c r="K293" s="2037"/>
      <c r="L293" s="2037"/>
      <c r="M293" s="2037"/>
      <c r="N293" s="2037"/>
      <c r="O293" s="2037"/>
      <c r="P293" s="2037"/>
      <c r="Q293" s="2037"/>
      <c r="R293" s="2037"/>
      <c r="S293" s="2037"/>
      <c r="T293" s="2037"/>
      <c r="U293" s="2037"/>
      <c r="V293" s="2037"/>
      <c r="W293" s="2037"/>
      <c r="X293" s="2037"/>
      <c r="Y293" s="2037"/>
      <c r="Z293" s="2037"/>
      <c r="AA293" s="2037"/>
      <c r="AB293" s="2037"/>
      <c r="AC293" s="2037"/>
      <c r="AD293" s="2038"/>
      <c r="AE293" s="586"/>
      <c r="AF293" s="586"/>
      <c r="AG293" s="586"/>
      <c r="AH293" s="586"/>
      <c r="AI293" s="586"/>
      <c r="AJ293" s="585"/>
      <c r="AK293" s="585"/>
      <c r="AL293" s="585"/>
      <c r="AM293" s="585"/>
      <c r="AR293" s="683"/>
    </row>
    <row r="294" spans="1:49">
      <c r="A294" s="585"/>
      <c r="B294" s="586"/>
      <c r="C294" s="585"/>
      <c r="D294" s="586"/>
      <c r="E294" s="585"/>
      <c r="F294" s="2036"/>
      <c r="G294" s="2037"/>
      <c r="H294" s="2037"/>
      <c r="I294" s="2037"/>
      <c r="J294" s="2037"/>
      <c r="K294" s="2037"/>
      <c r="L294" s="2037"/>
      <c r="M294" s="2037"/>
      <c r="N294" s="2037"/>
      <c r="O294" s="2037"/>
      <c r="P294" s="2037"/>
      <c r="Q294" s="2037"/>
      <c r="R294" s="2037"/>
      <c r="S294" s="2037"/>
      <c r="T294" s="2037"/>
      <c r="U294" s="2037"/>
      <c r="V294" s="2037"/>
      <c r="W294" s="2037"/>
      <c r="X294" s="2037"/>
      <c r="Y294" s="2037"/>
      <c r="Z294" s="2037"/>
      <c r="AA294" s="2037"/>
      <c r="AB294" s="2037"/>
      <c r="AC294" s="2037"/>
      <c r="AD294" s="203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58"/>
      <c r="G295" s="2059"/>
      <c r="H295" s="2059"/>
      <c r="I295" s="2059"/>
      <c r="J295" s="2059"/>
      <c r="K295" s="2059"/>
      <c r="L295" s="2059"/>
      <c r="M295" s="2059"/>
      <c r="N295" s="2059"/>
      <c r="O295" s="2059"/>
      <c r="P295" s="2059"/>
      <c r="Q295" s="2059"/>
      <c r="R295" s="2059"/>
      <c r="S295" s="2059"/>
      <c r="T295" s="2059"/>
      <c r="U295" s="2059"/>
      <c r="V295" s="2059"/>
      <c r="W295" s="2059"/>
      <c r="X295" s="2059"/>
      <c r="Y295" s="2059"/>
      <c r="Z295" s="2059"/>
      <c r="AA295" s="2059"/>
      <c r="AB295" s="2059"/>
      <c r="AC295" s="2059"/>
      <c r="AD295" s="206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31" t="s">
        <v>1563</v>
      </c>
      <c r="B299" s="1631"/>
      <c r="C299" s="1936" t="s">
        <v>601</v>
      </c>
      <c r="D299" s="1936"/>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13" t="s">
        <v>2421</v>
      </c>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c r="AA300" s="1914"/>
      <c r="AB300" s="1914"/>
      <c r="AC300" s="1914"/>
      <c r="AD300" s="1915"/>
      <c r="AE300" s="586"/>
      <c r="AF300" s="586"/>
      <c r="AG300" s="574"/>
      <c r="AH300" s="586"/>
      <c r="AI300" s="586"/>
      <c r="AJ300" s="585"/>
      <c r="AK300" s="585"/>
      <c r="AL300" s="585"/>
      <c r="AM300" s="585"/>
      <c r="AN300" s="73"/>
      <c r="AO300" s="14"/>
      <c r="AP300" s="592" t="s">
        <v>1328</v>
      </c>
    </row>
    <row r="301" spans="1:49" hidden="1">
      <c r="F301" s="1913"/>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c r="AA301" s="1914"/>
      <c r="AB301" s="1914"/>
      <c r="AC301" s="1914"/>
      <c r="AD301" s="1915"/>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4"/>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4"/>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39" t="s">
        <v>1328</v>
      </c>
      <c r="G305" s="2040"/>
      <c r="H305" s="2040"/>
      <c r="I305" s="2040"/>
      <c r="J305" s="2040"/>
      <c r="K305" s="2040"/>
      <c r="L305" s="2040"/>
      <c r="M305" s="2040"/>
      <c r="N305" s="2040"/>
      <c r="O305" s="2040"/>
      <c r="P305" s="2040"/>
      <c r="Q305" s="2040"/>
      <c r="R305" s="2040"/>
      <c r="S305" s="2040"/>
      <c r="T305" s="2040"/>
      <c r="U305" s="2040"/>
      <c r="V305" s="2040"/>
      <c r="W305" s="2040"/>
      <c r="X305" s="2040"/>
      <c r="Y305" s="2040"/>
      <c r="Z305" s="2040"/>
      <c r="AA305" s="2040"/>
      <c r="AB305" s="2040"/>
      <c r="AC305" s="2040"/>
      <c r="AD305" s="2041"/>
      <c r="AE305" s="677"/>
      <c r="AF305" s="677"/>
      <c r="AG305" s="677"/>
      <c r="AH305" s="677"/>
      <c r="AI305" s="677"/>
      <c r="AJ305" s="677"/>
      <c r="AK305" s="677"/>
      <c r="AL305" s="585"/>
      <c r="AM305" s="585"/>
      <c r="AN305" s="73"/>
      <c r="AO305" s="14"/>
      <c r="AP305" s="30"/>
    </row>
    <row r="306" spans="1:42" hidden="1">
      <c r="A306" s="585"/>
      <c r="B306" s="586"/>
      <c r="C306" s="765"/>
      <c r="D306" s="765"/>
      <c r="E306" s="582"/>
      <c r="F306" s="2039"/>
      <c r="G306" s="2040"/>
      <c r="H306" s="2040"/>
      <c r="I306" s="2040"/>
      <c r="J306" s="2040"/>
      <c r="K306" s="2040"/>
      <c r="L306" s="2040"/>
      <c r="M306" s="2040"/>
      <c r="N306" s="2040"/>
      <c r="O306" s="2040"/>
      <c r="P306" s="2040"/>
      <c r="Q306" s="2040"/>
      <c r="R306" s="2040"/>
      <c r="S306" s="2040"/>
      <c r="T306" s="2040"/>
      <c r="U306" s="2040"/>
      <c r="V306" s="2040"/>
      <c r="W306" s="2040"/>
      <c r="X306" s="2040"/>
      <c r="Y306" s="2040"/>
      <c r="Z306" s="2040"/>
      <c r="AA306" s="2040"/>
      <c r="AB306" s="2040"/>
      <c r="AC306" s="2040"/>
      <c r="AD306" s="2041"/>
      <c r="AE306" s="586"/>
      <c r="AF306" s="586"/>
      <c r="AG306" s="574"/>
      <c r="AH306" s="586"/>
      <c r="AI306" s="586"/>
      <c r="AJ306" s="585"/>
      <c r="AK306" s="585"/>
      <c r="AL306" s="585"/>
      <c r="AM306" s="585"/>
      <c r="AN306" s="73"/>
      <c r="AO306" s="14"/>
      <c r="AP306" s="30"/>
    </row>
    <row r="307" spans="1:42" hidden="1">
      <c r="A307" s="585"/>
      <c r="B307" s="586"/>
      <c r="C307" s="765"/>
      <c r="D307" s="765"/>
      <c r="E307" s="582"/>
      <c r="F307" s="2039"/>
      <c r="G307" s="2040"/>
      <c r="H307" s="2040"/>
      <c r="I307" s="2040"/>
      <c r="J307" s="2040"/>
      <c r="K307" s="2040"/>
      <c r="L307" s="2040"/>
      <c r="M307" s="2040"/>
      <c r="N307" s="2040"/>
      <c r="O307" s="2040"/>
      <c r="P307" s="2040"/>
      <c r="Q307" s="2040"/>
      <c r="R307" s="2040"/>
      <c r="S307" s="2040"/>
      <c r="T307" s="2040"/>
      <c r="U307" s="2040"/>
      <c r="V307" s="2040"/>
      <c r="W307" s="2040"/>
      <c r="X307" s="2040"/>
      <c r="Y307" s="2040"/>
      <c r="Z307" s="2040"/>
      <c r="AA307" s="2040"/>
      <c r="AB307" s="2040"/>
      <c r="AC307" s="2040"/>
      <c r="AD307" s="2041"/>
      <c r="AE307" s="586"/>
      <c r="AF307" s="586"/>
      <c r="AG307" s="574"/>
      <c r="AH307" s="586"/>
      <c r="AI307" s="586"/>
      <c r="AJ307" s="585"/>
      <c r="AK307" s="585"/>
      <c r="AL307" s="585"/>
      <c r="AM307" s="585"/>
      <c r="AN307" s="73"/>
      <c r="AO307" s="14"/>
      <c r="AP307" s="30"/>
    </row>
    <row r="308" spans="1:42" hidden="1">
      <c r="A308" s="585"/>
      <c r="B308" s="586"/>
      <c r="C308" s="765"/>
      <c r="D308" s="765"/>
      <c r="E308" s="582"/>
      <c r="F308" s="2039"/>
      <c r="G308" s="2040"/>
      <c r="H308" s="2040"/>
      <c r="I308" s="2040"/>
      <c r="J308" s="2040"/>
      <c r="K308" s="2040"/>
      <c r="L308" s="2040"/>
      <c r="M308" s="2040"/>
      <c r="N308" s="2040"/>
      <c r="O308" s="2040"/>
      <c r="P308" s="2040"/>
      <c r="Q308" s="2040"/>
      <c r="R308" s="2040"/>
      <c r="S308" s="2040"/>
      <c r="T308" s="2040"/>
      <c r="U308" s="2040"/>
      <c r="V308" s="2040"/>
      <c r="W308" s="2040"/>
      <c r="X308" s="2040"/>
      <c r="Y308" s="2040"/>
      <c r="Z308" s="2040"/>
      <c r="AA308" s="2040"/>
      <c r="AB308" s="2040"/>
      <c r="AC308" s="2040"/>
      <c r="AD308" s="2041"/>
      <c r="AE308" s="586"/>
      <c r="AF308" s="586"/>
      <c r="AG308" s="574"/>
      <c r="AH308" s="586"/>
      <c r="AI308" s="586"/>
      <c r="AJ308" s="585"/>
      <c r="AK308" s="585"/>
      <c r="AL308" s="585"/>
      <c r="AM308" s="585"/>
      <c r="AN308" s="73"/>
      <c r="AO308" s="14"/>
      <c r="AP308" s="30"/>
    </row>
    <row r="309" spans="1:42" hidden="1">
      <c r="A309" s="585"/>
      <c r="B309" s="586"/>
      <c r="C309" s="765"/>
      <c r="D309" s="765"/>
      <c r="E309" s="582"/>
      <c r="F309" s="2042"/>
      <c r="G309" s="2043"/>
      <c r="H309" s="2043"/>
      <c r="I309" s="2043"/>
      <c r="J309" s="2043"/>
      <c r="K309" s="2043"/>
      <c r="L309" s="2043"/>
      <c r="M309" s="2043"/>
      <c r="N309" s="2043"/>
      <c r="O309" s="2043"/>
      <c r="P309" s="2043"/>
      <c r="Q309" s="2043"/>
      <c r="R309" s="2043"/>
      <c r="S309" s="2043"/>
      <c r="T309" s="2043"/>
      <c r="U309" s="2043"/>
      <c r="V309" s="2043"/>
      <c r="W309" s="2043"/>
      <c r="X309" s="2043"/>
      <c r="Y309" s="2043"/>
      <c r="Z309" s="2043"/>
      <c r="AA309" s="2043"/>
      <c r="AB309" s="2043"/>
      <c r="AC309" s="2043"/>
      <c r="AD309" s="2044"/>
      <c r="AE309" s="586"/>
      <c r="AF309" s="586"/>
      <c r="AG309" s="574"/>
      <c r="AH309" s="586"/>
      <c r="AI309" s="586"/>
      <c r="AJ309" s="585"/>
      <c r="AK309" s="585"/>
      <c r="AL309" s="585"/>
      <c r="AM309" s="585"/>
      <c r="AN309" s="73"/>
      <c r="AO309" s="14"/>
      <c r="AP309" s="30"/>
    </row>
    <row r="310" spans="1:42" hidden="1">
      <c r="A310" s="585"/>
      <c r="B310" s="586"/>
      <c r="C310" s="765"/>
      <c r="D310" s="765"/>
      <c r="E310" s="582"/>
      <c r="F310" s="1009"/>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45" t="s">
        <v>1328</v>
      </c>
      <c r="J313" s="2045"/>
      <c r="K313" s="2045"/>
      <c r="L313" s="2045"/>
      <c r="M313" s="2045"/>
      <c r="N313" s="2045"/>
      <c r="O313" s="2045"/>
      <c r="P313" s="2045"/>
      <c r="Q313" s="2045"/>
      <c r="R313" s="2045"/>
      <c r="S313" s="2045"/>
      <c r="T313" s="2045"/>
      <c r="U313" s="2045"/>
      <c r="V313" s="2045"/>
      <c r="W313" s="2045"/>
      <c r="X313" s="2045"/>
      <c r="Y313" s="2045"/>
      <c r="Z313" s="2045"/>
      <c r="AA313" s="2045"/>
      <c r="AB313" s="2045"/>
      <c r="AC313" s="2045"/>
      <c r="AD313" s="2046"/>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45"/>
      <c r="J314" s="2045"/>
      <c r="K314" s="2045"/>
      <c r="L314" s="2045"/>
      <c r="M314" s="2045"/>
      <c r="N314" s="2045"/>
      <c r="O314" s="2045"/>
      <c r="P314" s="2045"/>
      <c r="Q314" s="2045"/>
      <c r="R314" s="2045"/>
      <c r="S314" s="2045"/>
      <c r="T314" s="2045"/>
      <c r="U314" s="2045"/>
      <c r="V314" s="2045"/>
      <c r="W314" s="2045"/>
      <c r="X314" s="2045"/>
      <c r="Y314" s="2045"/>
      <c r="Z314" s="2045"/>
      <c r="AA314" s="2045"/>
      <c r="AB314" s="2045"/>
      <c r="AC314" s="2045"/>
      <c r="AD314" s="2046"/>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45"/>
      <c r="J315" s="2045"/>
      <c r="K315" s="2045"/>
      <c r="L315" s="2045"/>
      <c r="M315" s="2045"/>
      <c r="N315" s="2045"/>
      <c r="O315" s="2045"/>
      <c r="P315" s="2045"/>
      <c r="Q315" s="2045"/>
      <c r="R315" s="2045"/>
      <c r="S315" s="2045"/>
      <c r="T315" s="2045"/>
      <c r="U315" s="2045"/>
      <c r="V315" s="2045"/>
      <c r="W315" s="2045"/>
      <c r="X315" s="2045"/>
      <c r="Y315" s="2045"/>
      <c r="Z315" s="2045"/>
      <c r="AA315" s="2045"/>
      <c r="AB315" s="2045"/>
      <c r="AC315" s="2045"/>
      <c r="AD315" s="2046"/>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47"/>
      <c r="J316" s="2047"/>
      <c r="K316" s="2047"/>
      <c r="L316" s="2047"/>
      <c r="M316" s="2047"/>
      <c r="N316" s="2047"/>
      <c r="O316" s="2047"/>
      <c r="P316" s="2047"/>
      <c r="Q316" s="2047"/>
      <c r="R316" s="2047"/>
      <c r="S316" s="2047"/>
      <c r="T316" s="2047"/>
      <c r="U316" s="2047"/>
      <c r="V316" s="2047"/>
      <c r="W316" s="2047"/>
      <c r="X316" s="2047"/>
      <c r="Y316" s="2047"/>
      <c r="Z316" s="2047"/>
      <c r="AA316" s="2047"/>
      <c r="AB316" s="2047"/>
      <c r="AC316" s="2047"/>
      <c r="AD316" s="2048"/>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45" t="s">
        <v>1328</v>
      </c>
      <c r="J318" s="2045"/>
      <c r="K318" s="2045"/>
      <c r="L318" s="2045"/>
      <c r="M318" s="2045"/>
      <c r="N318" s="2045"/>
      <c r="O318" s="2045"/>
      <c r="P318" s="2045"/>
      <c r="Q318" s="2045"/>
      <c r="R318" s="2045"/>
      <c r="S318" s="2045"/>
      <c r="T318" s="2045"/>
      <c r="U318" s="2045"/>
      <c r="V318" s="2045"/>
      <c r="W318" s="2045"/>
      <c r="X318" s="2045"/>
      <c r="Y318" s="2045"/>
      <c r="Z318" s="2045"/>
      <c r="AA318" s="2045"/>
      <c r="AB318" s="2045"/>
      <c r="AC318" s="2045"/>
      <c r="AD318" s="204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45"/>
      <c r="J319" s="2045"/>
      <c r="K319" s="2045"/>
      <c r="L319" s="2045"/>
      <c r="M319" s="2045"/>
      <c r="N319" s="2045"/>
      <c r="O319" s="2045"/>
      <c r="P319" s="2045"/>
      <c r="Q319" s="2045"/>
      <c r="R319" s="2045"/>
      <c r="S319" s="2045"/>
      <c r="T319" s="2045"/>
      <c r="U319" s="2045"/>
      <c r="V319" s="2045"/>
      <c r="W319" s="2045"/>
      <c r="X319" s="2045"/>
      <c r="Y319" s="2045"/>
      <c r="Z319" s="2045"/>
      <c r="AA319" s="2045"/>
      <c r="AB319" s="2045"/>
      <c r="AC319" s="2045"/>
      <c r="AD319" s="2046"/>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47"/>
      <c r="J320" s="2047"/>
      <c r="K320" s="2047"/>
      <c r="L320" s="2047"/>
      <c r="M320" s="2047"/>
      <c r="N320" s="2047"/>
      <c r="O320" s="2047"/>
      <c r="P320" s="2047"/>
      <c r="Q320" s="2047"/>
      <c r="R320" s="2047"/>
      <c r="S320" s="2047"/>
      <c r="T320" s="2047"/>
      <c r="U320" s="2047"/>
      <c r="V320" s="2047"/>
      <c r="W320" s="2047"/>
      <c r="X320" s="2047"/>
      <c r="Y320" s="2047"/>
      <c r="Z320" s="2047"/>
      <c r="AA320" s="2047"/>
      <c r="AB320" s="2047"/>
      <c r="AC320" s="2047"/>
      <c r="AD320" s="2048"/>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31" t="s">
        <v>1566</v>
      </c>
      <c r="B322" s="1631"/>
      <c r="C322" s="1936" t="s">
        <v>601</v>
      </c>
      <c r="D322" s="1936"/>
      <c r="E322" s="582"/>
      <c r="F322" s="2033" t="s">
        <v>2422</v>
      </c>
      <c r="G322" s="2034"/>
      <c r="H322" s="2034"/>
      <c r="I322" s="2034"/>
      <c r="J322" s="2034"/>
      <c r="K322" s="2034"/>
      <c r="L322" s="2034"/>
      <c r="M322" s="2034"/>
      <c r="N322" s="2034"/>
      <c r="O322" s="2034"/>
      <c r="P322" s="2034"/>
      <c r="Q322" s="2034"/>
      <c r="R322" s="2034"/>
      <c r="S322" s="2034"/>
      <c r="T322" s="2034"/>
      <c r="U322" s="2034"/>
      <c r="V322" s="2034"/>
      <c r="W322" s="2034"/>
      <c r="X322" s="2034"/>
      <c r="Y322" s="2034"/>
      <c r="Z322" s="2034"/>
      <c r="AA322" s="2034"/>
      <c r="AB322" s="2034"/>
      <c r="AC322" s="2034"/>
      <c r="AD322" s="2035"/>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36"/>
      <c r="G323" s="2037"/>
      <c r="H323" s="2037"/>
      <c r="I323" s="2037"/>
      <c r="J323" s="2037"/>
      <c r="K323" s="2037"/>
      <c r="L323" s="2037"/>
      <c r="M323" s="2037"/>
      <c r="N323" s="2037"/>
      <c r="O323" s="2037"/>
      <c r="P323" s="2037"/>
      <c r="Q323" s="2037"/>
      <c r="R323" s="2037"/>
      <c r="S323" s="2037"/>
      <c r="T323" s="2037"/>
      <c r="U323" s="2037"/>
      <c r="V323" s="2037"/>
      <c r="W323" s="2037"/>
      <c r="X323" s="2037"/>
      <c r="Y323" s="2037"/>
      <c r="Z323" s="2037"/>
      <c r="AA323" s="2037"/>
      <c r="AB323" s="2037"/>
      <c r="AC323" s="2037"/>
      <c r="AD323" s="2038"/>
      <c r="AE323" s="586"/>
      <c r="AF323" s="586"/>
      <c r="AG323" s="586"/>
      <c r="AH323" s="586"/>
      <c r="AI323" s="586"/>
      <c r="AJ323" s="585"/>
      <c r="AK323" s="585"/>
      <c r="AL323" s="585"/>
      <c r="AM323" s="585"/>
      <c r="AN323" s="73"/>
      <c r="AO323" s="14"/>
    </row>
    <row r="324" spans="1:44" ht="15" hidden="1" customHeight="1">
      <c r="A324" s="585"/>
      <c r="B324" s="586"/>
      <c r="C324" s="586"/>
      <c r="D324" s="586"/>
      <c r="E324" s="586"/>
      <c r="F324" s="2036"/>
      <c r="G324" s="2037"/>
      <c r="H324" s="2037"/>
      <c r="I324" s="2037"/>
      <c r="J324" s="2037"/>
      <c r="K324" s="2037"/>
      <c r="L324" s="2037"/>
      <c r="M324" s="2037"/>
      <c r="N324" s="2037"/>
      <c r="O324" s="2037"/>
      <c r="P324" s="2037"/>
      <c r="Q324" s="2037"/>
      <c r="R324" s="2037"/>
      <c r="S324" s="2037"/>
      <c r="T324" s="2037"/>
      <c r="U324" s="2037"/>
      <c r="V324" s="2037"/>
      <c r="W324" s="2037"/>
      <c r="X324" s="2037"/>
      <c r="Y324" s="2037"/>
      <c r="Z324" s="2037"/>
      <c r="AA324" s="2037"/>
      <c r="AB324" s="2037"/>
      <c r="AC324" s="2037"/>
      <c r="AD324" s="2038"/>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21">
        <f>IF(NOT(OR(Application!M354="Yes",Application!M355="Yes")),0,AP284)</f>
        <v>9</v>
      </c>
      <c r="AL327" s="1922"/>
      <c r="AM327" s="1923"/>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27" t="s">
        <v>1488</v>
      </c>
      <c r="AF330" s="1927"/>
      <c r="AG330" s="1927"/>
      <c r="AH330" s="1927"/>
      <c r="AI330" s="1927"/>
      <c r="AJ330" s="1927"/>
      <c r="AK330" s="1927"/>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31" t="s">
        <v>1628</v>
      </c>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c r="AA332" s="1931"/>
      <c r="AB332" s="1931"/>
      <c r="AC332" s="1931"/>
      <c r="AD332" s="1931"/>
      <c r="AE332" s="1931"/>
      <c r="AF332" s="1931"/>
      <c r="AG332" s="1931"/>
      <c r="AH332" s="1931"/>
      <c r="AI332" s="1931"/>
      <c r="AJ332" s="1931"/>
      <c r="AK332" s="638"/>
      <c r="AL332" s="638"/>
      <c r="AM332" s="638"/>
      <c r="AN332" s="632"/>
    </row>
    <row r="333" spans="1:44" s="585" customFormat="1" ht="12.75" customHeight="1">
      <c r="A333" s="638"/>
      <c r="B333" s="646"/>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c r="AA333" s="1931"/>
      <c r="AB333" s="1931"/>
      <c r="AC333" s="1931"/>
      <c r="AD333" s="1931"/>
      <c r="AE333" s="1931"/>
      <c r="AF333" s="1931"/>
      <c r="AG333" s="1931"/>
      <c r="AH333" s="1931"/>
      <c r="AI333" s="1931"/>
      <c r="AJ333" s="1931"/>
      <c r="AK333" s="638"/>
      <c r="AL333" s="638"/>
      <c r="AM333" s="638"/>
      <c r="AN333" s="632"/>
    </row>
    <row r="334" spans="1:44" s="585" customFormat="1" ht="12.75" customHeight="1">
      <c r="A334" s="638"/>
      <c r="B334" s="646"/>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c r="AA334" s="1931"/>
      <c r="AB334" s="1931"/>
      <c r="AC334" s="1931"/>
      <c r="AD334" s="1931"/>
      <c r="AE334" s="1931"/>
      <c r="AF334" s="1931"/>
      <c r="AG334" s="1931"/>
      <c r="AH334" s="1931"/>
      <c r="AI334" s="1931"/>
      <c r="AJ334" s="1931"/>
      <c r="AK334" s="638"/>
      <c r="AL334" s="638"/>
      <c r="AM334" s="638"/>
      <c r="AN334" s="632"/>
      <c r="AQ334" s="605"/>
    </row>
    <row r="335" spans="1:44" s="585" customFormat="1" ht="12.75" customHeight="1">
      <c r="A335" s="638"/>
      <c r="B335" s="646"/>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c r="AA335" s="1931"/>
      <c r="AB335" s="1931"/>
      <c r="AC335" s="1931"/>
      <c r="AD335" s="1931"/>
      <c r="AE335" s="1931"/>
      <c r="AF335" s="1931"/>
      <c r="AG335" s="1931"/>
      <c r="AH335" s="1931"/>
      <c r="AI335" s="1931"/>
      <c r="AJ335" s="1931"/>
      <c r="AK335" s="638"/>
      <c r="AL335" s="638"/>
      <c r="AM335" s="638"/>
      <c r="AN335" s="632"/>
      <c r="AQ335" s="605"/>
    </row>
    <row r="336" spans="1:44" s="585" customFormat="1" ht="12.4" customHeight="1">
      <c r="A336" s="638"/>
      <c r="B336" s="646"/>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c r="AA336" s="1931"/>
      <c r="AB336" s="1931"/>
      <c r="AC336" s="1931"/>
      <c r="AD336" s="1931"/>
      <c r="AE336" s="1931"/>
      <c r="AF336" s="1931"/>
      <c r="AG336" s="1931"/>
      <c r="AH336" s="1931"/>
      <c r="AI336" s="1931"/>
      <c r="AJ336" s="1931"/>
      <c r="AK336" s="638"/>
      <c r="AL336" s="638"/>
      <c r="AM336" s="638"/>
      <c r="AN336" s="632"/>
      <c r="AQ336" s="605"/>
      <c r="AR336" s="605"/>
    </row>
    <row r="337" spans="1:46" s="585" customFormat="1" ht="45.75" customHeight="1">
      <c r="A337" s="638"/>
      <c r="B337" s="646"/>
      <c r="C337" s="1931" t="s">
        <v>2509</v>
      </c>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c r="AA337" s="1931"/>
      <c r="AB337" s="1931"/>
      <c r="AC337" s="1931"/>
      <c r="AD337" s="1931"/>
      <c r="AE337" s="1931"/>
      <c r="AF337" s="1931"/>
      <c r="AG337" s="1931"/>
      <c r="AH337" s="1931"/>
      <c r="AI337" s="1931"/>
      <c r="AJ337" s="1931"/>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31" t="s">
        <v>2129</v>
      </c>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c r="AA339" s="1931"/>
      <c r="AB339" s="1931"/>
      <c r="AC339" s="1931"/>
      <c r="AD339" s="1931"/>
      <c r="AE339" s="1931"/>
      <c r="AF339" s="1931"/>
      <c r="AG339" s="1931"/>
      <c r="AH339" s="1931"/>
      <c r="AI339" s="1931"/>
      <c r="AJ339" s="1931"/>
      <c r="AK339" s="638"/>
      <c r="AL339" s="638"/>
      <c r="AM339" s="638"/>
      <c r="AN339" s="632"/>
      <c r="AQ339" s="605"/>
      <c r="AR339" s="605"/>
    </row>
    <row r="340" spans="1:46" s="585" customFormat="1" ht="30" customHeight="1">
      <c r="A340" s="638"/>
      <c r="B340" s="646"/>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c r="AA340" s="1931"/>
      <c r="AB340" s="1931"/>
      <c r="AC340" s="1931"/>
      <c r="AD340" s="1931"/>
      <c r="AE340" s="1931"/>
      <c r="AF340" s="1931"/>
      <c r="AG340" s="1931"/>
      <c r="AH340" s="1931"/>
      <c r="AI340" s="1931"/>
      <c r="AJ340" s="1931"/>
      <c r="AK340" s="638"/>
      <c r="AL340" s="638"/>
      <c r="AM340" s="638"/>
      <c r="AN340" s="632"/>
      <c r="AR340" s="605"/>
    </row>
    <row r="341" spans="1:46" s="585" customFormat="1" ht="12.75" customHeight="1">
      <c r="A341" s="638"/>
      <c r="B341" s="646"/>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c r="AA341" s="1931"/>
      <c r="AB341" s="1931"/>
      <c r="AC341" s="1931"/>
      <c r="AD341" s="1931"/>
      <c r="AE341" s="1931"/>
      <c r="AF341" s="1931"/>
      <c r="AG341" s="1931"/>
      <c r="AH341" s="1931"/>
      <c r="AI341" s="1931"/>
      <c r="AJ341" s="1931"/>
      <c r="AK341" s="638"/>
      <c r="AL341" s="638"/>
      <c r="AM341" s="638"/>
      <c r="AN341" s="632"/>
      <c r="AR341" s="605"/>
    </row>
    <row r="342" spans="1:46" s="585" customFormat="1" ht="12.75" customHeight="1">
      <c r="A342" s="638"/>
      <c r="B342" s="646"/>
      <c r="C342" s="1931" t="s">
        <v>1629</v>
      </c>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c r="AA342" s="1931"/>
      <c r="AB342" s="1931"/>
      <c r="AC342" s="1931"/>
      <c r="AD342" s="1931"/>
      <c r="AE342" s="1931"/>
      <c r="AF342" s="1931"/>
      <c r="AG342" s="1931"/>
      <c r="AH342" s="1931"/>
      <c r="AI342" s="1931"/>
      <c r="AJ342" s="1931"/>
      <c r="AK342" s="638"/>
      <c r="AL342" s="638"/>
      <c r="AM342" s="638"/>
      <c r="AN342" s="632"/>
      <c r="AQ342" s="605"/>
      <c r="AR342" s="605"/>
    </row>
    <row r="343" spans="1:46" s="585" customFormat="1" ht="12.75" customHeight="1">
      <c r="A343" s="638"/>
      <c r="B343" s="646"/>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c r="AA343" s="1931"/>
      <c r="AB343" s="1931"/>
      <c r="AC343" s="1931"/>
      <c r="AD343" s="1931"/>
      <c r="AE343" s="1931"/>
      <c r="AF343" s="1931"/>
      <c r="AG343" s="1931"/>
      <c r="AH343" s="1931"/>
      <c r="AI343" s="1931"/>
      <c r="AJ343" s="1931"/>
      <c r="AK343" s="638"/>
      <c r="AL343" s="638"/>
      <c r="AM343" s="638"/>
      <c r="AN343" s="632"/>
      <c r="AQ343" s="605"/>
      <c r="AR343" s="605"/>
    </row>
    <row r="344" spans="1:46" s="585" customFormat="1" ht="13.15" customHeight="1">
      <c r="A344" s="638"/>
      <c r="B344" s="646"/>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c r="AA344" s="1931"/>
      <c r="AB344" s="1931"/>
      <c r="AC344" s="1931"/>
      <c r="AD344" s="1931"/>
      <c r="AE344" s="1931"/>
      <c r="AF344" s="1931"/>
      <c r="AG344" s="1931"/>
      <c r="AH344" s="1931"/>
      <c r="AI344" s="1931"/>
      <c r="AJ344" s="1931"/>
      <c r="AK344" s="638"/>
      <c r="AL344" s="638"/>
      <c r="AM344" s="638"/>
      <c r="AN344" s="632"/>
      <c r="AQ344" s="605"/>
      <c r="AR344" s="605"/>
    </row>
    <row r="345" spans="1:46" s="585" customFormat="1" ht="12.75" customHeight="1">
      <c r="A345" s="638"/>
      <c r="B345" s="646"/>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c r="AA345" s="1931"/>
      <c r="AB345" s="1931"/>
      <c r="AC345" s="1931"/>
      <c r="AD345" s="1931"/>
      <c r="AE345" s="1931"/>
      <c r="AF345" s="1931"/>
      <c r="AG345" s="1931"/>
      <c r="AH345" s="1931"/>
      <c r="AI345" s="1931"/>
      <c r="AJ345" s="1931"/>
      <c r="AK345" s="638"/>
      <c r="AL345" s="638"/>
      <c r="AM345" s="638"/>
      <c r="AN345" s="632"/>
      <c r="AO345" s="729"/>
      <c r="AP345" s="729"/>
      <c r="AQ345" s="605"/>
    </row>
    <row r="346" spans="1:46" s="585" customFormat="1" ht="11.85" customHeight="1">
      <c r="A346" s="638"/>
      <c r="B346" s="646"/>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c r="AA346" s="1931"/>
      <c r="AB346" s="1931"/>
      <c r="AC346" s="1931"/>
      <c r="AD346" s="1931"/>
      <c r="AE346" s="1931"/>
      <c r="AF346" s="1931"/>
      <c r="AG346" s="1931"/>
      <c r="AH346" s="1931"/>
      <c r="AI346" s="1931"/>
      <c r="AJ346" s="1931"/>
      <c r="AK346" s="638"/>
      <c r="AL346" s="638"/>
      <c r="AM346" s="638"/>
      <c r="AN346" s="632"/>
      <c r="AO346" s="730" t="s">
        <v>113</v>
      </c>
      <c r="AP346" s="731">
        <f>IF(C370="Yes",5,0)</f>
        <v>0</v>
      </c>
      <c r="AS346" s="574" t="s">
        <v>1630</v>
      </c>
    </row>
    <row r="347" spans="1:46" s="585" customFormat="1" ht="12.75" customHeight="1">
      <c r="A347" s="638"/>
      <c r="B347" s="646"/>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c r="AA347" s="1931"/>
      <c r="AB347" s="1931"/>
      <c r="AC347" s="1931"/>
      <c r="AD347" s="1931"/>
      <c r="AE347" s="1931"/>
      <c r="AF347" s="1931"/>
      <c r="AG347" s="1931"/>
      <c r="AH347" s="1931"/>
      <c r="AI347" s="1931"/>
      <c r="AJ347" s="1931"/>
      <c r="AK347" s="638"/>
      <c r="AL347" s="638"/>
      <c r="AM347" s="638"/>
      <c r="AN347" s="632"/>
      <c r="AO347" s="730" t="s">
        <v>114</v>
      </c>
      <c r="AP347" s="731">
        <f>IF(C378="Yes",5,0)</f>
        <v>0</v>
      </c>
      <c r="AS347" s="1896">
        <f>IF(Application!D210="Non-Targeted",(SUM(AQ355+AQ364)),AS351)</f>
        <v>10</v>
      </c>
      <c r="AT347" s="1896"/>
    </row>
    <row r="348" spans="1:46" s="585" customFormat="1" ht="12.75" customHeight="1">
      <c r="A348" s="638"/>
      <c r="B348" s="646"/>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c r="AA348" s="1931"/>
      <c r="AB348" s="1931"/>
      <c r="AC348" s="1931"/>
      <c r="AD348" s="1931"/>
      <c r="AE348" s="1931"/>
      <c r="AF348" s="1931"/>
      <c r="AG348" s="1931"/>
      <c r="AH348" s="1931"/>
      <c r="AI348" s="1931"/>
      <c r="AJ348" s="1931"/>
      <c r="AK348" s="638"/>
      <c r="AL348" s="638"/>
      <c r="AM348" s="638"/>
      <c r="AN348" s="632"/>
      <c r="AO348" s="730" t="s">
        <v>120</v>
      </c>
      <c r="AP348" s="731">
        <f>IF(C386="Yes",7,0)</f>
        <v>7</v>
      </c>
      <c r="AS348" s="574" t="s">
        <v>1631</v>
      </c>
    </row>
    <row r="349" spans="1:46" s="585" customFormat="1" ht="12.75" customHeight="1">
      <c r="A349" s="638"/>
      <c r="B349" s="646"/>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c r="AA349" s="1931"/>
      <c r="AB349" s="1931"/>
      <c r="AC349" s="1931"/>
      <c r="AD349" s="1931"/>
      <c r="AE349" s="1931"/>
      <c r="AF349" s="1931"/>
      <c r="AG349" s="1931"/>
      <c r="AH349" s="1931"/>
      <c r="AI349" s="1931"/>
      <c r="AJ349" s="1931"/>
      <c r="AK349" s="638"/>
      <c r="AL349" s="638"/>
      <c r="AM349" s="638"/>
      <c r="AN349" s="632"/>
      <c r="AO349" s="632"/>
      <c r="AP349" s="731">
        <f>IF(C388="Yes",5,0)</f>
        <v>0</v>
      </c>
      <c r="AS349" s="1896">
        <f>IF(AND(AQ355&gt;0,AQ364&gt;0),(AQ355+AQ364)/2,0)</f>
        <v>0</v>
      </c>
      <c r="AT349" s="1896"/>
    </row>
    <row r="350" spans="1:46" s="585" customFormat="1" ht="12.75" customHeight="1">
      <c r="A350" s="638"/>
      <c r="B350" s="646"/>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c r="AA350" s="1931"/>
      <c r="AB350" s="1931"/>
      <c r="AC350" s="1931"/>
      <c r="AD350" s="1931"/>
      <c r="AE350" s="1931"/>
      <c r="AF350" s="1931"/>
      <c r="AG350" s="1931"/>
      <c r="AH350" s="1931"/>
      <c r="AI350" s="1931"/>
      <c r="AJ350" s="1931"/>
      <c r="AK350" s="638"/>
      <c r="AL350" s="638"/>
      <c r="AM350" s="638"/>
      <c r="AN350" s="632"/>
      <c r="AO350" s="730" t="s">
        <v>591</v>
      </c>
      <c r="AP350" s="731">
        <f>IF(C396="Yes",5,0)</f>
        <v>0</v>
      </c>
      <c r="AS350" s="574" t="s">
        <v>2146</v>
      </c>
    </row>
    <row r="351" spans="1:46" s="585" customFormat="1" ht="12.75" customHeight="1">
      <c r="A351" s="638"/>
      <c r="B351" s="646"/>
      <c r="C351" s="2025" t="s">
        <v>1632</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8"/>
      <c r="AL351" s="638"/>
      <c r="AM351" s="638"/>
      <c r="AN351" s="632"/>
      <c r="AO351" s="632"/>
      <c r="AP351" s="731">
        <f>IF(C398="Yes",3,0)</f>
        <v>3</v>
      </c>
      <c r="AS351" s="1896">
        <f>IF(AQ355=0,AQ364,AQ355)</f>
        <v>10</v>
      </c>
      <c r="AT351" s="1896"/>
    </row>
    <row r="352" spans="1:46" s="585" customFormat="1" ht="12.75" customHeight="1">
      <c r="A352" s="638"/>
      <c r="B352" s="646"/>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8"/>
      <c r="AL352" s="638"/>
      <c r="AM352" s="638"/>
      <c r="AN352" s="632"/>
      <c r="AO352" s="730" t="s">
        <v>788</v>
      </c>
      <c r="AP352" s="731">
        <f>IF(C401="Yes",5,0)</f>
        <v>0</v>
      </c>
    </row>
    <row r="353" spans="1:81" s="585" customFormat="1" ht="12.75" customHeight="1">
      <c r="A353" s="638"/>
      <c r="B353" s="646"/>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8"/>
      <c r="AL353" s="638"/>
      <c r="AM353" s="638"/>
      <c r="AN353" s="632"/>
      <c r="AO353" s="730" t="s">
        <v>594</v>
      </c>
      <c r="AP353" s="731">
        <f>IF(C410="Yes",5,0)</f>
        <v>0</v>
      </c>
    </row>
    <row r="354" spans="1:81" s="585" customFormat="1" ht="11.85" customHeight="1">
      <c r="A354" s="638"/>
      <c r="B354" s="646"/>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8"/>
      <c r="AL354" s="638"/>
      <c r="AM354" s="638"/>
      <c r="AN354" s="632"/>
      <c r="AO354" s="732"/>
      <c r="AP354" s="733">
        <f>IF(C412="Yes",3,0)</f>
        <v>0</v>
      </c>
    </row>
    <row r="355" spans="1:81" s="585" customFormat="1" ht="12.4" customHeight="1">
      <c r="A355" s="638"/>
      <c r="B355" s="646"/>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8"/>
      <c r="AL355" s="638"/>
      <c r="AM355" s="638"/>
      <c r="AN355" s="632"/>
      <c r="AO355" s="734" t="s">
        <v>229</v>
      </c>
      <c r="AP355" s="735">
        <f>SUM(AP346:AP354)</f>
        <v>10</v>
      </c>
      <c r="AQ355" s="1934">
        <f>IF(AP355&gt;0,AP355,0)</f>
        <v>10</v>
      </c>
      <c r="AR355" s="1934"/>
    </row>
    <row r="356" spans="1:81" s="585" customFormat="1" ht="12.75" customHeight="1">
      <c r="A356" s="638"/>
      <c r="B356" s="646"/>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31" t="s">
        <v>1633</v>
      </c>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c r="AA358" s="1931"/>
      <c r="AB358" s="1931"/>
      <c r="AC358" s="1931"/>
      <c r="AD358" s="1931"/>
      <c r="AE358" s="1931"/>
      <c r="AF358" s="1931"/>
      <c r="AG358" s="1931"/>
      <c r="AH358" s="1931"/>
      <c r="AI358" s="1931"/>
      <c r="AJ358" s="1931"/>
      <c r="AK358" s="638"/>
      <c r="AL358" s="638"/>
      <c r="AM358" s="638"/>
      <c r="AN358" s="632"/>
      <c r="AO358" s="730" t="s">
        <v>466</v>
      </c>
      <c r="AP358" s="731">
        <f>IF(C431="Yes",5,0)</f>
        <v>0</v>
      </c>
    </row>
    <row r="359" spans="1:81" s="585" customFormat="1" ht="12.75" customHeight="1">
      <c r="A359" s="638"/>
      <c r="B359" s="646"/>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c r="AA359" s="1931"/>
      <c r="AB359" s="1931"/>
      <c r="AC359" s="1931"/>
      <c r="AD359" s="1931"/>
      <c r="AE359" s="1931"/>
      <c r="AF359" s="1931"/>
      <c r="AG359" s="1931"/>
      <c r="AH359" s="1931"/>
      <c r="AI359" s="1931"/>
      <c r="AJ359" s="1931"/>
      <c r="AK359" s="638"/>
      <c r="AL359" s="638"/>
      <c r="AM359" s="638"/>
      <c r="AN359" s="632"/>
      <c r="AO359" s="730" t="s">
        <v>471</v>
      </c>
      <c r="AP359" s="731">
        <f>IF(C438="Yes",5,0)</f>
        <v>0</v>
      </c>
    </row>
    <row r="360" spans="1:81" s="585" customFormat="1" ht="68.099999999999994" customHeight="1">
      <c r="A360" s="638"/>
      <c r="B360" s="646"/>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c r="AA360" s="1931"/>
      <c r="AB360" s="1931"/>
      <c r="AC360" s="1931"/>
      <c r="AD360" s="1931"/>
      <c r="AE360" s="1931"/>
      <c r="AF360" s="1931"/>
      <c r="AG360" s="1931"/>
      <c r="AH360" s="1931"/>
      <c r="AI360" s="1931"/>
      <c r="AJ360" s="1931"/>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32">
        <f>Application!CS649-U363</f>
        <v>428</v>
      </c>
      <c r="V362" s="1932"/>
      <c r="W362" s="1932"/>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33">
        <f>Application!AG742</f>
        <v>0</v>
      </c>
      <c r="V363" s="1933"/>
      <c r="W363" s="193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34">
        <f>IF(AP364&gt;0,AP364,0)</f>
        <v>0</v>
      </c>
      <c r="AR364" s="1934"/>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25" t="s">
        <v>1638</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35" t="s">
        <v>601</v>
      </c>
      <c r="D370" s="1936"/>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24" t="s">
        <v>1640</v>
      </c>
      <c r="AG370" s="1924"/>
      <c r="AH370" s="1924"/>
      <c r="AI370" s="1924"/>
      <c r="AJ370" s="1924"/>
      <c r="AK370" s="1924"/>
      <c r="AL370" s="193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25" t="s">
        <v>1641</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767"/>
      <c r="AN377" s="632"/>
      <c r="BS377" s="30"/>
      <c r="BT377" s="30"/>
      <c r="BU377" s="14"/>
      <c r="BV377" s="14"/>
      <c r="BW377" s="14"/>
      <c r="BX377" s="14"/>
      <c r="BY377" s="14"/>
      <c r="BZ377" s="14"/>
      <c r="CA377" s="14"/>
      <c r="CB377" s="14"/>
      <c r="CC377" s="14"/>
    </row>
    <row r="378" spans="1:81" s="585" customFormat="1" ht="12.75" customHeight="1">
      <c r="A378" s="571"/>
      <c r="B378" s="14"/>
      <c r="C378" s="1935" t="s">
        <v>601</v>
      </c>
      <c r="D378" s="1936"/>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24" t="s">
        <v>1640</v>
      </c>
      <c r="AG378" s="1924"/>
      <c r="AH378" s="1924"/>
      <c r="AI378" s="1924"/>
      <c r="AJ378" s="1924"/>
      <c r="AK378" s="1924"/>
      <c r="AL378" s="193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25" t="s">
        <v>1643</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35" t="s">
        <v>555</v>
      </c>
      <c r="D386" s="1936"/>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24" t="s">
        <v>1645</v>
      </c>
      <c r="AG386" s="1924"/>
      <c r="AH386" s="1924"/>
      <c r="AI386" s="1924"/>
      <c r="AJ386" s="1924"/>
      <c r="AK386" s="1924"/>
      <c r="AL386" s="193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35" t="s">
        <v>601</v>
      </c>
      <c r="D388" s="1936"/>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24" t="s">
        <v>1640</v>
      </c>
      <c r="AG388" s="1924"/>
      <c r="AH388" s="1924"/>
      <c r="AI388" s="1924"/>
      <c r="AJ388" s="1924"/>
      <c r="AK388" s="1924"/>
      <c r="AL388" s="193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25" t="s">
        <v>1649</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35" t="s">
        <v>601</v>
      </c>
      <c r="D396" s="1936"/>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24" t="s">
        <v>1640</v>
      </c>
      <c r="AG396" s="1924"/>
      <c r="AH396" s="1924"/>
      <c r="AI396" s="1924"/>
      <c r="AJ396" s="1924"/>
      <c r="AK396" s="1924"/>
      <c r="AL396" s="193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35" t="s">
        <v>555</v>
      </c>
      <c r="D398" s="1936"/>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24" t="s">
        <v>1652</v>
      </c>
      <c r="AG398" s="1924"/>
      <c r="AH398" s="1924"/>
      <c r="AI398" s="1924"/>
      <c r="AJ398" s="1924"/>
      <c r="AK398" s="1924"/>
      <c r="AL398" s="193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35" t="s">
        <v>601</v>
      </c>
      <c r="D401" s="1936"/>
      <c r="E401" s="750" t="s">
        <v>1653</v>
      </c>
      <c r="F401" s="1925" t="s">
        <v>1654</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994" t="s">
        <v>1640</v>
      </c>
      <c r="AG402" s="1994"/>
      <c r="AH402" s="1994"/>
      <c r="AI402" s="1994"/>
      <c r="AJ402" s="1994"/>
      <c r="AK402" s="1994"/>
      <c r="AL402" s="2024"/>
      <c r="AM402" s="605"/>
      <c r="AN402" s="632"/>
      <c r="BS402" s="605"/>
      <c r="BT402" s="605"/>
      <c r="BY402" s="605"/>
      <c r="BZ402" s="605"/>
      <c r="CA402" s="605"/>
      <c r="CB402" s="605"/>
      <c r="CC402" s="605"/>
    </row>
    <row r="403" spans="1:81" s="585" customFormat="1" ht="12.75" customHeight="1">
      <c r="A403" s="571"/>
      <c r="B403" s="14"/>
      <c r="C403" s="766"/>
      <c r="D403" s="14"/>
      <c r="E403" s="726"/>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25" t="s">
        <v>1656</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782"/>
      <c r="AG406" s="782"/>
      <c r="AH406" s="782"/>
      <c r="AI406" s="782"/>
      <c r="AJ406" s="782"/>
      <c r="AK406" s="782"/>
      <c r="AL406" s="783"/>
      <c r="AM406" s="605"/>
    </row>
    <row r="407" spans="1:81">
      <c r="A407" s="571"/>
      <c r="C407" s="766"/>
      <c r="E407" s="726"/>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574"/>
      <c r="AG407" s="571"/>
      <c r="AH407" s="585"/>
      <c r="AI407" s="585"/>
      <c r="AJ407" s="585"/>
      <c r="AK407" s="585"/>
      <c r="AL407" s="767"/>
      <c r="AM407" s="605"/>
    </row>
    <row r="408" spans="1:81" s="585" customFormat="1" ht="12.75" customHeight="1">
      <c r="A408" s="571"/>
      <c r="B408" s="14"/>
      <c r="C408" s="766"/>
      <c r="D408" s="14"/>
      <c r="E408" s="726"/>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767"/>
      <c r="AM408" s="605"/>
      <c r="AN408" s="632"/>
    </row>
    <row r="409" spans="1:81" s="585" customFormat="1" ht="12.75" customHeight="1">
      <c r="A409" s="571"/>
      <c r="B409" s="14"/>
      <c r="C409" s="774"/>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767"/>
      <c r="AM409" s="605"/>
      <c r="AN409" s="632"/>
    </row>
    <row r="410" spans="1:81" s="585" customFormat="1" ht="12.75" customHeight="1">
      <c r="A410" s="571"/>
      <c r="B410" s="14"/>
      <c r="C410" s="1935" t="s">
        <v>601</v>
      </c>
      <c r="D410" s="1936"/>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94" t="s">
        <v>1640</v>
      </c>
      <c r="AG410" s="1994"/>
      <c r="AH410" s="1994"/>
      <c r="AI410" s="1994"/>
      <c r="AJ410" s="1994"/>
      <c r="AK410" s="1994"/>
      <c r="AL410" s="2024"/>
      <c r="AM410" s="605"/>
      <c r="AN410" s="632"/>
    </row>
    <row r="411" spans="1:81" s="585" customFormat="1" ht="12.75" customHeight="1">
      <c r="A411" s="571"/>
      <c r="B411" s="14"/>
      <c r="C411" s="774"/>
      <c r="AL411" s="767"/>
      <c r="AM411" s="605"/>
      <c r="AN411" s="632"/>
    </row>
    <row r="412" spans="1:81" s="585" customFormat="1" ht="12.75" customHeight="1">
      <c r="A412" s="571"/>
      <c r="B412" s="14"/>
      <c r="C412" s="1935" t="s">
        <v>601</v>
      </c>
      <c r="D412" s="1936"/>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94" t="s">
        <v>1652</v>
      </c>
      <c r="AG412" s="1994"/>
      <c r="AH412" s="1994"/>
      <c r="AI412" s="1994"/>
      <c r="AJ412" s="1994"/>
      <c r="AK412" s="1994"/>
      <c r="AL412" s="202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25" t="s">
        <v>1661</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749"/>
      <c r="AG416" s="749"/>
      <c r="AH416" s="749"/>
      <c r="AI416" s="749"/>
      <c r="AJ416" s="749"/>
      <c r="AK416" s="749"/>
      <c r="AL416" s="780"/>
      <c r="AM416" s="605"/>
      <c r="AN416" s="632"/>
    </row>
    <row r="417" spans="1:60" s="585" customFormat="1" ht="12.75" customHeight="1">
      <c r="A417" s="571"/>
      <c r="B417" s="14"/>
      <c r="C417" s="766"/>
      <c r="D417" s="14"/>
      <c r="E417" s="726"/>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574"/>
      <c r="AG417" s="571"/>
      <c r="AL417" s="767"/>
      <c r="AM417" s="605"/>
      <c r="AN417" s="632"/>
    </row>
    <row r="418" spans="1:60" s="585" customFormat="1" ht="12.4" customHeight="1">
      <c r="A418" s="571"/>
      <c r="B418" s="14"/>
      <c r="C418" s="766"/>
      <c r="D418" s="14"/>
      <c r="E418" s="726"/>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767"/>
      <c r="AM418" s="605"/>
      <c r="AN418" s="632"/>
    </row>
    <row r="419" spans="1:60" s="585" customFormat="1" ht="12.75" customHeight="1">
      <c r="A419" s="571"/>
      <c r="B419" s="14"/>
      <c r="C419" s="1935" t="s">
        <v>601</v>
      </c>
      <c r="D419" s="1936"/>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94" t="s">
        <v>1640</v>
      </c>
      <c r="AG419" s="1994"/>
      <c r="AH419" s="1994"/>
      <c r="AI419" s="1994"/>
      <c r="AJ419" s="1994"/>
      <c r="AK419" s="1994"/>
      <c r="AL419" s="202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1925" t="s">
        <v>1664</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782"/>
      <c r="AG422" s="782"/>
      <c r="AH422" s="782"/>
      <c r="AI422" s="782"/>
      <c r="AJ422" s="782"/>
      <c r="AK422" s="782"/>
      <c r="AL422" s="783"/>
      <c r="AM422" s="605"/>
      <c r="AO422" s="585"/>
      <c r="AP422" s="585"/>
      <c r="BD422" s="14"/>
      <c r="BE422" s="14"/>
      <c r="BF422" s="14"/>
      <c r="BG422" s="14"/>
      <c r="BH422" s="14"/>
    </row>
    <row r="423" spans="1:60">
      <c r="A423" s="571"/>
      <c r="C423" s="766"/>
      <c r="E423" s="726"/>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629"/>
      <c r="AG423" s="629"/>
      <c r="AH423" s="629"/>
      <c r="AI423" s="629"/>
      <c r="AJ423" s="629"/>
      <c r="AK423" s="629"/>
      <c r="AL423" s="786"/>
      <c r="AM423" s="605"/>
      <c r="AO423" s="585"/>
      <c r="AP423" s="585"/>
    </row>
    <row r="424" spans="1:60" s="585" customFormat="1" ht="12.75" customHeight="1">
      <c r="A424" s="571"/>
      <c r="B424" s="14"/>
      <c r="C424" s="766"/>
      <c r="D424" s="14"/>
      <c r="E424" s="726"/>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629"/>
      <c r="AG424" s="629"/>
      <c r="AH424" s="629"/>
      <c r="AI424" s="629"/>
      <c r="AJ424" s="629"/>
      <c r="AK424" s="629"/>
      <c r="AL424" s="786"/>
      <c r="AM424" s="605"/>
      <c r="AN424" s="632"/>
    </row>
    <row r="425" spans="1:60" s="585" customFormat="1" ht="12.75" customHeight="1">
      <c r="A425" s="571"/>
      <c r="B425" s="14"/>
      <c r="C425" s="787"/>
      <c r="D425" s="765"/>
      <c r="E425" s="754"/>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629"/>
      <c r="AG426" s="629"/>
      <c r="AH426" s="629"/>
      <c r="AI426" s="629"/>
      <c r="AJ426" s="629"/>
      <c r="AK426" s="629"/>
      <c r="AL426" s="786"/>
      <c r="AM426" s="605"/>
      <c r="AN426" s="632"/>
    </row>
    <row r="427" spans="1:60" s="585" customFormat="1" ht="12.75" customHeight="1">
      <c r="A427" s="571"/>
      <c r="B427" s="14"/>
      <c r="C427" s="787"/>
      <c r="D427" s="765"/>
      <c r="E427" s="754"/>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629"/>
      <c r="AG427" s="629"/>
      <c r="AH427" s="629"/>
      <c r="AI427" s="629"/>
      <c r="AJ427" s="629"/>
      <c r="AK427" s="629"/>
      <c r="AL427" s="786"/>
      <c r="AM427" s="605"/>
      <c r="AN427" s="632"/>
    </row>
    <row r="428" spans="1:60" s="585" customFormat="1" ht="12.75" customHeight="1">
      <c r="A428" s="571"/>
      <c r="B428" s="14"/>
      <c r="C428" s="787"/>
      <c r="D428" s="765"/>
      <c r="E428" s="754"/>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629"/>
      <c r="AG428" s="629"/>
      <c r="AH428" s="629"/>
      <c r="AI428" s="629"/>
      <c r="AJ428" s="629"/>
      <c r="AK428" s="629"/>
      <c r="AL428" s="786"/>
      <c r="AM428" s="605"/>
      <c r="AN428" s="632"/>
    </row>
    <row r="429" spans="1:60" s="585" customFormat="1" ht="12.75" customHeight="1">
      <c r="A429" s="571"/>
      <c r="B429" s="14"/>
      <c r="C429" s="787"/>
      <c r="D429" s="765"/>
      <c r="E429" s="754"/>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629"/>
      <c r="AG429" s="629"/>
      <c r="AH429" s="629"/>
      <c r="AI429" s="629"/>
      <c r="AJ429" s="629"/>
      <c r="AK429" s="629"/>
      <c r="AL429" s="786"/>
      <c r="AM429" s="605"/>
      <c r="AN429" s="632"/>
    </row>
    <row r="430" spans="1:60" s="585" customFormat="1" ht="17.25" customHeight="1">
      <c r="A430" s="571"/>
      <c r="B430" s="14"/>
      <c r="C430" s="787"/>
      <c r="D430" s="765"/>
      <c r="E430" s="754"/>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767"/>
      <c r="AM430" s="605"/>
      <c r="AN430" s="632"/>
    </row>
    <row r="431" spans="1:60" s="585" customFormat="1" ht="12.75" customHeight="1">
      <c r="A431" s="571"/>
      <c r="B431" s="14"/>
      <c r="C431" s="1935" t="s">
        <v>601</v>
      </c>
      <c r="D431" s="1936"/>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94" t="s">
        <v>1640</v>
      </c>
      <c r="AG431" s="1994"/>
      <c r="AH431" s="1994"/>
      <c r="AI431" s="1994"/>
      <c r="AJ431" s="1994"/>
      <c r="AK431" s="1994"/>
      <c r="AL431" s="202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25" t="s">
        <v>1667</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767"/>
      <c r="AM437" s="605"/>
      <c r="AN437" s="632"/>
      <c r="AO437" s="585" t="s">
        <v>1670</v>
      </c>
      <c r="AP437" s="585">
        <v>5</v>
      </c>
      <c r="AQ437" s="571"/>
    </row>
    <row r="438" spans="1:54" s="585" customFormat="1" ht="12.75" customHeight="1">
      <c r="A438" s="571"/>
      <c r="B438" s="14"/>
      <c r="C438" s="1935" t="s">
        <v>601</v>
      </c>
      <c r="D438" s="1936"/>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94" t="s">
        <v>1640</v>
      </c>
      <c r="AG438" s="1994"/>
      <c r="AH438" s="1994"/>
      <c r="AI438" s="1994"/>
      <c r="AJ438" s="1994"/>
      <c r="AK438" s="1994"/>
      <c r="AL438" s="2024"/>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49" t="s">
        <v>601</v>
      </c>
      <c r="D442" s="2050"/>
      <c r="E442" s="750" t="s">
        <v>1676</v>
      </c>
      <c r="F442" s="1925" t="s">
        <v>1677</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2020" t="s">
        <v>1640</v>
      </c>
      <c r="AG442" s="2020"/>
      <c r="AH442" s="2020"/>
      <c r="AI442" s="2020"/>
      <c r="AJ442" s="2020"/>
      <c r="AK442" s="2020"/>
      <c r="AL442" s="2021"/>
      <c r="AM442" s="605"/>
      <c r="AN442" s="789"/>
      <c r="AO442" s="585" t="s">
        <v>1678</v>
      </c>
      <c r="AP442" s="585">
        <v>1</v>
      </c>
    </row>
    <row r="443" spans="1:54" s="585" customFormat="1" ht="12.75" customHeight="1">
      <c r="A443" s="571"/>
      <c r="B443" s="14"/>
      <c r="C443" s="787"/>
      <c r="D443" s="765"/>
      <c r="E443" s="754"/>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35" t="s">
        <v>601</v>
      </c>
      <c r="D446" s="1936"/>
      <c r="E446" s="750" t="s">
        <v>1682</v>
      </c>
      <c r="F446" s="1925" t="s">
        <v>1683</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2020" t="s">
        <v>1640</v>
      </c>
      <c r="AG446" s="2020"/>
      <c r="AH446" s="2020"/>
      <c r="AI446" s="2020"/>
      <c r="AJ446" s="2020"/>
      <c r="AK446" s="2020"/>
      <c r="AL446" s="2021"/>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25" t="s">
        <v>1686</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779"/>
      <c r="AH451" s="749"/>
      <c r="AI451" s="749"/>
      <c r="AJ451" s="749"/>
      <c r="AK451" s="749"/>
      <c r="AL451" s="780"/>
      <c r="AM451" s="605"/>
      <c r="AN451" s="632"/>
    </row>
    <row r="452" spans="1:49" s="585" customFormat="1" ht="12.75" customHeight="1">
      <c r="A452" s="571"/>
      <c r="B452" s="14"/>
      <c r="C452" s="766"/>
      <c r="D452" s="14"/>
      <c r="E452" s="726"/>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767"/>
      <c r="AM452" s="605"/>
      <c r="AN452" s="632"/>
    </row>
    <row r="453" spans="1:49" s="585" customFormat="1" ht="12.75" customHeight="1">
      <c r="A453" s="571"/>
      <c r="B453" s="14"/>
      <c r="C453" s="774"/>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767"/>
      <c r="AM453" s="605"/>
      <c r="AN453" s="632"/>
    </row>
    <row r="454" spans="1:49" s="585" customFormat="1" ht="12.75" customHeight="1">
      <c r="A454" s="571"/>
      <c r="B454" s="14"/>
      <c r="C454" s="774"/>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767"/>
      <c r="AM454" s="605"/>
      <c r="AN454" s="632"/>
    </row>
    <row r="455" spans="1:49" s="585" customFormat="1" ht="12.75" customHeight="1">
      <c r="A455" s="571"/>
      <c r="B455" s="14"/>
      <c r="C455" s="1935" t="s">
        <v>601</v>
      </c>
      <c r="D455" s="1936"/>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24" t="s">
        <v>1640</v>
      </c>
      <c r="AG455" s="1924"/>
      <c r="AH455" s="1924"/>
      <c r="AI455" s="1924"/>
      <c r="AJ455" s="1924"/>
      <c r="AK455" s="1924"/>
      <c r="AL455" s="193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0"/>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21">
        <f>IF(Application!D213="N/A",AS347,AS349)</f>
        <v>10</v>
      </c>
      <c r="AL458" s="1922"/>
      <c r="AM458" s="1923"/>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24" t="s">
        <v>1690</v>
      </c>
      <c r="AF461" s="1924"/>
      <c r="AG461" s="1924"/>
      <c r="AH461" s="1924"/>
      <c r="AI461" s="1924"/>
      <c r="AJ461" s="1924"/>
      <c r="AK461" s="1924"/>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01" t="s">
        <v>601</v>
      </c>
      <c r="D467" s="2002"/>
      <c r="E467" s="797" t="s">
        <v>517</v>
      </c>
      <c r="F467" s="2022" t="s">
        <v>1696</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6"/>
      <c r="AH468" s="586"/>
      <c r="AI468" s="586"/>
      <c r="AJ468" s="586"/>
      <c r="AK468" s="767"/>
      <c r="AN468" s="632"/>
      <c r="AO468" s="585" t="s">
        <v>1678</v>
      </c>
      <c r="AP468" s="585">
        <v>1</v>
      </c>
    </row>
    <row r="469" spans="1:50" s="585" customFormat="1" ht="12.75" hidden="1" customHeight="1">
      <c r="C469" s="800"/>
      <c r="D469" s="762"/>
      <c r="E469" s="801"/>
      <c r="F469" s="2017" t="s">
        <v>601</v>
      </c>
      <c r="G469" s="2017"/>
      <c r="H469" s="2017"/>
      <c r="I469" s="2017"/>
      <c r="J469" s="2017"/>
      <c r="K469" s="2017"/>
      <c r="L469" s="2017"/>
      <c r="M469" s="2017"/>
      <c r="N469" s="2017"/>
      <c r="O469" s="2017"/>
      <c r="P469" s="2017"/>
      <c r="Q469" s="2017"/>
      <c r="R469" s="2017"/>
      <c r="S469" s="2017"/>
      <c r="T469" s="2017"/>
      <c r="U469" s="2017"/>
      <c r="V469" s="2017"/>
      <c r="W469" s="2017"/>
      <c r="X469" s="2017"/>
      <c r="Y469" s="2017"/>
      <c r="Z469" s="2017"/>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8" t="s">
        <v>555</v>
      </c>
      <c r="D471" s="2019"/>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30" t="s">
        <v>601</v>
      </c>
      <c r="W474" s="1930"/>
      <c r="X474" s="1930"/>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30" t="s">
        <v>601</v>
      </c>
      <c r="W476" s="1930"/>
      <c r="X476" s="1930"/>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30" t="s">
        <v>601</v>
      </c>
      <c r="W481" s="1930"/>
      <c r="X481" s="1930"/>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04"/>
      <c r="E484" s="2004"/>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30" t="s">
        <v>601</v>
      </c>
      <c r="W485" s="1930"/>
      <c r="X485" s="1930"/>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30" t="s">
        <v>601</v>
      </c>
      <c r="W487" s="1930"/>
      <c r="X487" s="1930"/>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01" t="s">
        <v>601</v>
      </c>
      <c r="D490" s="2002"/>
      <c r="E490" s="797" t="s">
        <v>517</v>
      </c>
      <c r="F490" s="2022" t="s">
        <v>1696</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09" t="s">
        <v>601</v>
      </c>
      <c r="G492" s="2009"/>
      <c r="H492" s="2009"/>
      <c r="I492" s="2009"/>
      <c r="J492" s="2009"/>
      <c r="K492" s="2009"/>
      <c r="L492" s="2009"/>
      <c r="M492" s="2009"/>
      <c r="N492" s="2009"/>
      <c r="O492" s="2009"/>
      <c r="P492" s="2009"/>
      <c r="Q492" s="2009"/>
      <c r="R492" s="2009"/>
      <c r="S492" s="2009"/>
      <c r="T492" s="2009"/>
      <c r="U492" s="2009"/>
      <c r="V492" s="2009"/>
      <c r="W492" s="2009"/>
      <c r="X492" s="2009"/>
      <c r="Y492" s="2009"/>
      <c r="Z492" s="2009"/>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01" t="s">
        <v>601</v>
      </c>
      <c r="D494" s="2002"/>
      <c r="E494" s="797" t="s">
        <v>770</v>
      </c>
      <c r="F494" s="2010" t="s">
        <v>1718</v>
      </c>
      <c r="G494" s="2010"/>
      <c r="H494" s="2010"/>
      <c r="I494" s="2010"/>
      <c r="J494" s="2010"/>
      <c r="K494" s="2010"/>
      <c r="L494" s="2010"/>
      <c r="M494" s="2010"/>
      <c r="N494" s="2010"/>
      <c r="O494" s="2010"/>
      <c r="P494" s="2010"/>
      <c r="Q494" s="2010"/>
      <c r="R494" s="2010"/>
      <c r="S494" s="2010"/>
      <c r="T494" s="2010"/>
      <c r="U494" s="2010"/>
      <c r="V494" s="2010"/>
      <c r="W494" s="2010"/>
      <c r="X494" s="2010"/>
      <c r="Y494" s="2010"/>
      <c r="Z494" s="2010"/>
      <c r="AA494" s="2010"/>
      <c r="AB494" s="2010"/>
      <c r="AC494" s="2010"/>
      <c r="AD494" s="2010"/>
      <c r="AE494" s="201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1"/>
      <c r="G495" s="2011"/>
      <c r="H495" s="2011"/>
      <c r="I495" s="2011"/>
      <c r="J495" s="2011"/>
      <c r="K495" s="2011"/>
      <c r="L495" s="2011"/>
      <c r="M495" s="2011"/>
      <c r="N495" s="2011"/>
      <c r="O495" s="2011"/>
      <c r="P495" s="2011"/>
      <c r="Q495" s="2011"/>
      <c r="R495" s="2011"/>
      <c r="S495" s="2011"/>
      <c r="T495" s="2011"/>
      <c r="U495" s="2011"/>
      <c r="V495" s="2011"/>
      <c r="W495" s="2011"/>
      <c r="X495" s="2011"/>
      <c r="Y495" s="2011"/>
      <c r="Z495" s="2011"/>
      <c r="AA495" s="2011"/>
      <c r="AB495" s="2011"/>
      <c r="AC495" s="2011"/>
      <c r="AD495" s="2011"/>
      <c r="AE495" s="201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12" t="s">
        <v>601</v>
      </c>
      <c r="G497" s="2012"/>
      <c r="H497" s="201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01" t="s">
        <v>601</v>
      </c>
      <c r="D499" s="2002"/>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03"/>
      <c r="D501" s="2004"/>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05" t="s">
        <v>601</v>
      </c>
      <c r="H502" s="2005"/>
      <c r="I502" s="2005"/>
      <c r="J502" s="2005"/>
      <c r="K502" s="2005"/>
      <c r="L502" s="2005"/>
      <c r="M502" s="2005"/>
      <c r="N502" s="2005"/>
      <c r="O502" s="2005"/>
      <c r="P502" s="2005"/>
      <c r="Q502" s="2005"/>
      <c r="R502" s="2005"/>
      <c r="S502" s="2005"/>
      <c r="T502" s="2005"/>
      <c r="U502" s="2005"/>
      <c r="V502" s="2005"/>
      <c r="W502" s="2005"/>
      <c r="X502" s="2005"/>
      <c r="Y502" s="2005"/>
      <c r="Z502" s="2005"/>
      <c r="AA502" s="2005"/>
      <c r="AB502" s="2005"/>
      <c r="AC502" s="2005"/>
      <c r="AD502" s="2005"/>
      <c r="AE502" s="2005"/>
      <c r="AF502" s="200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06" t="s">
        <v>601</v>
      </c>
      <c r="D504" s="2007"/>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06" t="s">
        <v>601</v>
      </c>
      <c r="D508" s="2007"/>
      <c r="F508" s="831" t="s">
        <v>1726</v>
      </c>
      <c r="G508" s="1926" t="s">
        <v>1727</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13" t="s">
        <v>601</v>
      </c>
      <c r="D512" s="2014"/>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15" t="s">
        <v>601</v>
      </c>
      <c r="G513" s="2015"/>
      <c r="H513" s="2015"/>
      <c r="I513" s="2015"/>
      <c r="J513" s="2015"/>
      <c r="K513" s="2015"/>
      <c r="L513" s="2015"/>
      <c r="M513" s="2015"/>
      <c r="N513" s="2015"/>
      <c r="O513" s="2015"/>
      <c r="P513" s="2015"/>
      <c r="Q513" s="2015"/>
      <c r="R513" s="2015"/>
      <c r="S513" s="2015"/>
      <c r="T513" s="2015"/>
      <c r="U513" s="2015"/>
      <c r="V513" s="2015"/>
      <c r="W513" s="2015"/>
      <c r="X513" s="2015"/>
      <c r="Y513" s="2015"/>
      <c r="Z513" s="2015"/>
      <c r="AA513" s="2015"/>
      <c r="AB513" s="2015"/>
      <c r="AC513" s="2015"/>
      <c r="AD513" s="2015"/>
      <c r="AE513" s="2015"/>
      <c r="AF513" s="201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16"/>
      <c r="G514" s="2016"/>
      <c r="H514" s="2016"/>
      <c r="I514" s="2016"/>
      <c r="J514" s="2016"/>
      <c r="K514" s="2016"/>
      <c r="L514" s="2016"/>
      <c r="M514" s="2016"/>
      <c r="N514" s="2016"/>
      <c r="O514" s="2016"/>
      <c r="P514" s="2016"/>
      <c r="Q514" s="2016"/>
      <c r="R514" s="2016"/>
      <c r="S514" s="2016"/>
      <c r="T514" s="2016"/>
      <c r="U514" s="2016"/>
      <c r="V514" s="2016"/>
      <c r="W514" s="2016"/>
      <c r="X514" s="2016"/>
      <c r="Y514" s="2016"/>
      <c r="Z514" s="2016"/>
      <c r="AA514" s="2016"/>
      <c r="AB514" s="2016"/>
      <c r="AC514" s="2016"/>
      <c r="AD514" s="2016"/>
      <c r="AE514" s="2016"/>
      <c r="AF514" s="201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2423</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2424</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21">
        <f>SUM(AG468:AG513)</f>
        <v>0</v>
      </c>
      <c r="AL524" s="1922"/>
      <c r="AM524" s="1923"/>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27" t="s">
        <v>1739</v>
      </c>
      <c r="AF527" s="1927"/>
      <c r="AG527" s="1927"/>
      <c r="AH527" s="1927"/>
      <c r="AI527" s="1927"/>
      <c r="AJ527" s="1927"/>
      <c r="AK527" s="1927"/>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36" t="s">
        <v>555</v>
      </c>
      <c r="D530" s="1936"/>
      <c r="E530" s="586"/>
      <c r="F530" s="1995" t="s">
        <v>1740</v>
      </c>
      <c r="G530" s="1996"/>
      <c r="H530" s="1996"/>
      <c r="I530" s="1996"/>
      <c r="J530" s="1996"/>
      <c r="K530" s="1996"/>
      <c r="L530" s="1996"/>
      <c r="M530" s="1996"/>
      <c r="N530" s="1996"/>
      <c r="O530" s="1996"/>
      <c r="P530" s="1996"/>
      <c r="Q530" s="1996"/>
      <c r="R530" s="1996"/>
      <c r="S530" s="1996"/>
      <c r="T530" s="1996"/>
      <c r="U530" s="1996"/>
      <c r="V530" s="1996"/>
      <c r="W530" s="1996"/>
      <c r="X530" s="1996"/>
      <c r="Y530" s="1996"/>
      <c r="Z530" s="1996"/>
      <c r="AA530" s="1996"/>
      <c r="AB530" s="1996"/>
      <c r="AC530" s="1996"/>
      <c r="AD530" s="1996"/>
      <c r="AE530" s="1996"/>
      <c r="AF530" s="1996"/>
      <c r="AG530" s="1996"/>
      <c r="AH530" s="1996"/>
      <c r="AI530" s="1996"/>
      <c r="AJ530" s="1996"/>
      <c r="AK530" s="1996"/>
      <c r="AL530" s="1997"/>
      <c r="AM530" s="630"/>
      <c r="AN530" s="632"/>
    </row>
    <row r="531" spans="1:49" s="585" customFormat="1" ht="12.75" customHeight="1">
      <c r="A531" s="574"/>
      <c r="B531" s="574"/>
      <c r="C531" s="586"/>
      <c r="D531" s="586"/>
      <c r="E531" s="586"/>
      <c r="F531" s="1998"/>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1999"/>
      <c r="AH531" s="1999"/>
      <c r="AI531" s="1999"/>
      <c r="AJ531" s="1999"/>
      <c r="AK531" s="1999"/>
      <c r="AL531" s="200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36" t="s">
        <v>601</v>
      </c>
      <c r="D533" s="1936"/>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13" t="s">
        <v>1742</v>
      </c>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c r="AA534" s="1914"/>
      <c r="AB534" s="1914"/>
      <c r="AC534" s="1914"/>
      <c r="AD534" s="1914"/>
      <c r="AE534" s="1914"/>
      <c r="AF534" s="1914"/>
      <c r="AG534" s="1914"/>
      <c r="AH534" s="1914"/>
      <c r="AI534" s="1914"/>
      <c r="AJ534" s="1914"/>
      <c r="AK534" s="1914"/>
      <c r="AL534" s="1915"/>
      <c r="AM534" s="630"/>
      <c r="AN534" s="632"/>
      <c r="AS534" s="906"/>
      <c r="AT534" s="906"/>
      <c r="AU534" s="906"/>
      <c r="AV534" s="906"/>
      <c r="AW534" s="906"/>
    </row>
    <row r="535" spans="1:49" s="585" customFormat="1" ht="12.75" customHeight="1">
      <c r="B535" s="842"/>
      <c r="C535" s="842"/>
      <c r="D535" s="842"/>
      <c r="E535" s="842"/>
      <c r="F535" s="1913"/>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c r="AA535" s="1914"/>
      <c r="AB535" s="1914"/>
      <c r="AC535" s="1914"/>
      <c r="AD535" s="1914"/>
      <c r="AE535" s="1914"/>
      <c r="AF535" s="1914"/>
      <c r="AG535" s="1914"/>
      <c r="AH535" s="1914"/>
      <c r="AI535" s="1914"/>
      <c r="AJ535" s="1914"/>
      <c r="AK535" s="1914"/>
      <c r="AL535" s="1915"/>
      <c r="AM535" s="630"/>
      <c r="AN535" s="632"/>
    </row>
    <row r="536" spans="1:49" s="585" customFormat="1" ht="12.75" customHeight="1">
      <c r="B536" s="842"/>
      <c r="C536" s="842"/>
      <c r="D536" s="842"/>
      <c r="E536" s="842"/>
      <c r="F536" s="847" t="s">
        <v>2425</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13" t="s">
        <v>1743</v>
      </c>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c r="AA537" s="1914"/>
      <c r="AB537" s="1914"/>
      <c r="AC537" s="1914"/>
      <c r="AD537" s="1914"/>
      <c r="AE537" s="1914"/>
      <c r="AF537" s="1914"/>
      <c r="AG537" s="1914"/>
      <c r="AH537" s="1914"/>
      <c r="AI537" s="1914"/>
      <c r="AJ537" s="1914"/>
      <c r="AK537" s="1914"/>
      <c r="AL537" s="849"/>
      <c r="AM537" s="630"/>
      <c r="AN537" s="632"/>
    </row>
    <row r="538" spans="1:49" s="585" customFormat="1" ht="12.75" customHeight="1">
      <c r="B538" s="842"/>
      <c r="C538" s="842"/>
      <c r="D538" s="842"/>
      <c r="E538" s="842"/>
      <c r="F538" s="1916"/>
      <c r="G538" s="1917"/>
      <c r="H538" s="1917"/>
      <c r="I538" s="1917"/>
      <c r="J538" s="1917"/>
      <c r="K538" s="1917"/>
      <c r="L538" s="1917"/>
      <c r="M538" s="1917"/>
      <c r="N538" s="1917"/>
      <c r="O538" s="1917"/>
      <c r="P538" s="1917"/>
      <c r="Q538" s="1917"/>
      <c r="R538" s="1917"/>
      <c r="S538" s="1917"/>
      <c r="T538" s="1917"/>
      <c r="U538" s="1917"/>
      <c r="V538" s="1917"/>
      <c r="W538" s="1917"/>
      <c r="X538" s="1917"/>
      <c r="Y538" s="1917"/>
      <c r="Z538" s="1917"/>
      <c r="AA538" s="1917"/>
      <c r="AB538" s="1917"/>
      <c r="AC538" s="1917"/>
      <c r="AD538" s="1917"/>
      <c r="AE538" s="1917"/>
      <c r="AF538" s="1917"/>
      <c r="AG538" s="1917"/>
      <c r="AH538" s="1917"/>
      <c r="AI538" s="1917"/>
      <c r="AJ538" s="1917"/>
      <c r="AK538" s="191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08">
        <f>Application!AJ961</f>
        <v>128456792</v>
      </c>
      <c r="AQ539" s="1908"/>
      <c r="AR539" s="1908"/>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18">
        <f>'Sources and Uses Budget'!S107+'Sources and Uses Budget'!T107</f>
        <v>64595520</v>
      </c>
      <c r="AG540" s="1918"/>
      <c r="AH540" s="1918"/>
      <c r="AI540" s="1918"/>
      <c r="AJ540" s="1918"/>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19">
        <f>IFERROR(AP548,0)</f>
        <v>176732101.28</v>
      </c>
      <c r="AG541" s="1919"/>
      <c r="AH541" s="1919"/>
      <c r="AI541" s="1919"/>
      <c r="AJ541" s="1919"/>
      <c r="AK541" s="630"/>
      <c r="AL541" s="630"/>
      <c r="AM541" s="630"/>
      <c r="AN541" s="632"/>
      <c r="AP541" s="1908">
        <f>Application!AJ1010</f>
        <v>17983950.880000003</v>
      </c>
      <c r="AQ541" s="1908"/>
      <c r="AR541" s="190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20">
        <f>IFERROR(ROUNDDOWN(IF(C533="YES",((1-(AF540/AF541))*2),(1-(AF540/AF541))),2),0)</f>
        <v>0.63</v>
      </c>
      <c r="AG542" s="1920"/>
      <c r="AH542" s="1920"/>
      <c r="AI542" s="1920"/>
      <c r="AJ542" s="1920"/>
      <c r="AK542" s="630"/>
      <c r="AL542" s="630"/>
      <c r="AM542" s="630"/>
      <c r="AN542" s="632"/>
      <c r="AP542" s="1909">
        <f>Application!AJ1014</f>
        <v>25691358.400000002</v>
      </c>
      <c r="AQ542" s="1909"/>
      <c r="AR542" s="1909"/>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28">
        <f>IF(((AP541+AP542)/AP539)&gt;0.8,0.8,((AP541+AP542)/AP539))</f>
        <v>0.34</v>
      </c>
      <c r="AQ543" s="1928"/>
      <c r="AR543" s="1928"/>
    </row>
    <row r="544" spans="1:49" s="585" customFormat="1" ht="12.75" customHeight="1">
      <c r="A544" s="659"/>
      <c r="B544" s="1974" t="s">
        <v>2426</v>
      </c>
      <c r="C544" s="1975"/>
      <c r="D544" s="1975"/>
      <c r="E544" s="1975"/>
      <c r="F544" s="1975"/>
      <c r="G544" s="1975"/>
      <c r="H544" s="1975"/>
      <c r="I544" s="1975"/>
      <c r="J544" s="1975"/>
      <c r="K544" s="1975"/>
      <c r="L544" s="1975"/>
      <c r="M544" s="1975"/>
      <c r="N544" s="1975"/>
      <c r="O544" s="1975"/>
      <c r="P544" s="1975"/>
      <c r="Q544" s="1975"/>
      <c r="R544" s="1975"/>
      <c r="S544" s="1975"/>
      <c r="T544" s="1975"/>
      <c r="U544" s="1975"/>
      <c r="V544" s="1975"/>
      <c r="W544" s="1975"/>
      <c r="X544" s="1975"/>
      <c r="Y544" s="1975"/>
      <c r="Z544" s="1975"/>
      <c r="AA544" s="1975"/>
      <c r="AB544" s="1975"/>
      <c r="AC544" s="1975"/>
      <c r="AD544" s="1975"/>
      <c r="AE544" s="1975"/>
      <c r="AF544" s="1975"/>
      <c r="AG544" s="1975"/>
      <c r="AH544" s="1975"/>
      <c r="AI544" s="1975"/>
      <c r="AJ544" s="1976"/>
      <c r="AK544" s="630"/>
      <c r="AL544" s="630"/>
      <c r="AM544" s="630"/>
      <c r="AN544" s="632"/>
    </row>
    <row r="545" spans="1:44" s="585" customFormat="1" ht="12.75" customHeight="1">
      <c r="A545" s="659"/>
      <c r="B545" s="1977"/>
      <c r="C545" s="1978"/>
      <c r="D545" s="1978"/>
      <c r="E545" s="1978"/>
      <c r="F545" s="1978"/>
      <c r="G545" s="1978"/>
      <c r="H545" s="1978"/>
      <c r="I545" s="1978"/>
      <c r="J545" s="1978"/>
      <c r="K545" s="1978"/>
      <c r="L545" s="1978"/>
      <c r="M545" s="1978"/>
      <c r="N545" s="1978"/>
      <c r="O545" s="1978"/>
      <c r="P545" s="1978"/>
      <c r="Q545" s="1978"/>
      <c r="R545" s="1978"/>
      <c r="S545" s="1978"/>
      <c r="T545" s="1978"/>
      <c r="U545" s="1978"/>
      <c r="V545" s="1978"/>
      <c r="W545" s="1978"/>
      <c r="X545" s="1978"/>
      <c r="Y545" s="1978"/>
      <c r="Z545" s="1978"/>
      <c r="AA545" s="1978"/>
      <c r="AB545" s="1978"/>
      <c r="AC545" s="1978"/>
      <c r="AD545" s="1978"/>
      <c r="AE545" s="1978"/>
      <c r="AF545" s="1978"/>
      <c r="AG545" s="1978"/>
      <c r="AH545" s="1978"/>
      <c r="AI545" s="1978"/>
      <c r="AJ545" s="1979"/>
      <c r="AK545" s="630"/>
      <c r="AL545" s="630"/>
      <c r="AM545" s="630"/>
      <c r="AN545" s="632"/>
      <c r="AP545" s="1908">
        <f>AP546-AP541-AP542</f>
        <v>133056792</v>
      </c>
      <c r="AQ545" s="1929"/>
      <c r="AR545" s="1929"/>
    </row>
    <row r="546" spans="1:44" s="585" customFormat="1" ht="12.75" customHeight="1">
      <c r="A546" s="659"/>
      <c r="B546" s="1980"/>
      <c r="C546" s="1981"/>
      <c r="D546" s="1981"/>
      <c r="E546" s="1981"/>
      <c r="F546" s="1981"/>
      <c r="G546" s="1981"/>
      <c r="H546" s="1981"/>
      <c r="I546" s="1981"/>
      <c r="J546" s="1981"/>
      <c r="K546" s="1981"/>
      <c r="L546" s="1981"/>
      <c r="M546" s="1981"/>
      <c r="N546" s="1981"/>
      <c r="O546" s="1981"/>
      <c r="P546" s="1981"/>
      <c r="Q546" s="1981"/>
      <c r="R546" s="1981"/>
      <c r="S546" s="1981"/>
      <c r="T546" s="1981"/>
      <c r="U546" s="1981"/>
      <c r="V546" s="1981"/>
      <c r="W546" s="1981"/>
      <c r="X546" s="1981"/>
      <c r="Y546" s="1981"/>
      <c r="Z546" s="1981"/>
      <c r="AA546" s="1981"/>
      <c r="AB546" s="1981"/>
      <c r="AC546" s="1981"/>
      <c r="AD546" s="1981"/>
      <c r="AE546" s="1981"/>
      <c r="AF546" s="1981"/>
      <c r="AG546" s="1981"/>
      <c r="AH546" s="1981"/>
      <c r="AI546" s="1981"/>
      <c r="AJ546" s="1982"/>
      <c r="AK546" s="630"/>
      <c r="AL546" s="630"/>
      <c r="AM546" s="630"/>
      <c r="AN546" s="632"/>
      <c r="AP546" s="1908">
        <f>Application!AJ1018</f>
        <v>176732101.28</v>
      </c>
      <c r="AQ546" s="1908"/>
      <c r="AR546" s="190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83">
        <f>IFERROR(IF(AND(C530="N/A",C533="N/A"),0,IF(AF542=0,0,IF((AF542*100)&gt;12,12,(AF542*100)))),0)</f>
        <v>12</v>
      </c>
      <c r="AL548" s="1983"/>
      <c r="AM548" s="1984"/>
      <c r="AN548" s="632"/>
      <c r="AP548" s="1897">
        <f>AP545+(AP539*AP543)</f>
        <v>176732101.28</v>
      </c>
      <c r="AQ548" s="1898"/>
      <c r="AR548" s="189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2416</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27" t="s">
        <v>1488</v>
      </c>
      <c r="AF551" s="1927"/>
      <c r="AG551" s="1927"/>
      <c r="AH551" s="1927"/>
      <c r="AI551" s="1927"/>
      <c r="AJ551" s="1927"/>
      <c r="AK551" s="1927"/>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14" t="s">
        <v>2417</v>
      </c>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c r="AA553" s="1914"/>
      <c r="AB553" s="1914"/>
      <c r="AC553" s="1914"/>
      <c r="AD553" s="1914"/>
      <c r="AE553" s="1914"/>
      <c r="AF553" s="1914"/>
      <c r="AG553" s="1914"/>
      <c r="AH553" s="1914"/>
      <c r="AI553" s="1914"/>
      <c r="AJ553" s="1914"/>
      <c r="AK553" s="677"/>
      <c r="AL553" s="608"/>
      <c r="AM553" s="638"/>
      <c r="AN553" s="632"/>
    </row>
    <row r="554" spans="1:44" s="585" customFormat="1" ht="12.75" customHeight="1">
      <c r="A554" s="638"/>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c r="AA554" s="1914"/>
      <c r="AB554" s="1914"/>
      <c r="AC554" s="1914"/>
      <c r="AD554" s="1914"/>
      <c r="AE554" s="1914"/>
      <c r="AF554" s="1914"/>
      <c r="AG554" s="1914"/>
      <c r="AH554" s="1914"/>
      <c r="AI554" s="1914"/>
      <c r="AJ554" s="1914"/>
      <c r="AK554" s="677"/>
      <c r="AL554" s="608"/>
      <c r="AM554" s="638"/>
      <c r="AN554" s="632"/>
    </row>
    <row r="555" spans="1:44" s="585" customFormat="1" ht="12.75" customHeight="1">
      <c r="A555" s="638"/>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c r="AA555" s="1914"/>
      <c r="AB555" s="1914"/>
      <c r="AC555" s="1914"/>
      <c r="AD555" s="1914"/>
      <c r="AE555" s="1914"/>
      <c r="AF555" s="1914"/>
      <c r="AG555" s="1914"/>
      <c r="AH555" s="1914"/>
      <c r="AI555" s="1914"/>
      <c r="AJ555" s="1914"/>
      <c r="AK555" s="677"/>
      <c r="AL555" s="608"/>
      <c r="AM555" s="638"/>
      <c r="AN555" s="632"/>
    </row>
    <row r="556" spans="1:44" s="585" customFormat="1" ht="12.75" customHeight="1">
      <c r="A556" s="638"/>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c r="AA556" s="1914"/>
      <c r="AB556" s="1914"/>
      <c r="AC556" s="1914"/>
      <c r="AD556" s="1914"/>
      <c r="AE556" s="1914"/>
      <c r="AF556" s="1914"/>
      <c r="AG556" s="1914"/>
      <c r="AH556" s="1914"/>
      <c r="AI556" s="1914"/>
      <c r="AJ556" s="1914"/>
      <c r="AK556" s="677"/>
      <c r="AL556" s="608"/>
      <c r="AM556" s="638"/>
      <c r="AN556" s="632"/>
    </row>
    <row r="557" spans="1:44" s="585" customFormat="1" ht="12.75" customHeight="1">
      <c r="A557" s="638"/>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c r="AA557" s="1914"/>
      <c r="AB557" s="1914"/>
      <c r="AC557" s="1914"/>
      <c r="AD557" s="1914"/>
      <c r="AE557" s="1914"/>
      <c r="AF557" s="1914"/>
      <c r="AG557" s="1914"/>
      <c r="AH557" s="1914"/>
      <c r="AI557" s="1914"/>
      <c r="AJ557" s="1914"/>
      <c r="AK557" s="677"/>
      <c r="AL557" s="608"/>
      <c r="AM557" s="638"/>
      <c r="AN557" s="632"/>
    </row>
    <row r="558" spans="1:44" s="585" customFormat="1" ht="12.75" customHeight="1">
      <c r="A558" s="638"/>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c r="AA558" s="1914"/>
      <c r="AB558" s="1914"/>
      <c r="AC558" s="1914"/>
      <c r="AD558" s="1914"/>
      <c r="AE558" s="1914"/>
      <c r="AF558" s="1914"/>
      <c r="AG558" s="1914"/>
      <c r="AH558" s="1914"/>
      <c r="AI558" s="1914"/>
      <c r="AJ558" s="1914"/>
      <c r="AK558" s="677"/>
      <c r="AL558" s="608"/>
      <c r="AM558" s="638"/>
      <c r="AN558" s="632"/>
    </row>
    <row r="559" spans="1:44" s="585" customFormat="1" ht="12.75" customHeight="1">
      <c r="A559" s="638"/>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c r="AA559" s="1914"/>
      <c r="AB559" s="1914"/>
      <c r="AC559" s="1914"/>
      <c r="AD559" s="1914"/>
      <c r="AE559" s="1914"/>
      <c r="AF559" s="1914"/>
      <c r="AG559" s="1914"/>
      <c r="AH559" s="1914"/>
      <c r="AI559" s="1914"/>
      <c r="AJ559" s="1914"/>
      <c r="AK559" s="677"/>
      <c r="AL559" s="608"/>
      <c r="AM559" s="638"/>
      <c r="AN559" s="632"/>
    </row>
    <row r="560" spans="1:44" ht="12.75" customHeight="1">
      <c r="A560" s="638"/>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c r="AA560" s="1914"/>
      <c r="AB560" s="1914"/>
      <c r="AC560" s="1914"/>
      <c r="AD560" s="1914"/>
      <c r="AE560" s="1914"/>
      <c r="AF560" s="1914"/>
      <c r="AG560" s="1914"/>
      <c r="AH560" s="1914"/>
      <c r="AI560" s="1914"/>
      <c r="AJ560" s="1914"/>
      <c r="AK560" s="677"/>
      <c r="AL560" s="608"/>
      <c r="AM560" s="638"/>
    </row>
    <row r="561" spans="1:42" s="585" customFormat="1" ht="12.75" customHeight="1">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c r="AA561" s="1914"/>
      <c r="AB561" s="1914"/>
      <c r="AC561" s="1914"/>
      <c r="AD561" s="1914"/>
      <c r="AE561" s="1914"/>
      <c r="AF561" s="1914"/>
      <c r="AG561" s="1914"/>
      <c r="AH561" s="1914"/>
      <c r="AI561" s="1914"/>
      <c r="AJ561" s="191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94" t="s">
        <v>1512</v>
      </c>
      <c r="AG567" s="1994"/>
      <c r="AH567" s="1994"/>
      <c r="AI567" s="1994"/>
      <c r="AJ567" s="1994"/>
      <c r="AK567" s="1994"/>
      <c r="AL567" s="1994"/>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5"/>
      <c r="D574" s="698" t="s">
        <v>519</v>
      </c>
      <c r="E574" s="874" t="s">
        <v>1966</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71"/>
      <c r="AD574" s="571"/>
      <c r="AE574" s="571"/>
      <c r="AF574" s="1994" t="s">
        <v>1570</v>
      </c>
      <c r="AG574" s="1994"/>
      <c r="AH574" s="1994"/>
      <c r="AI574" s="1994"/>
      <c r="AJ574" s="1994"/>
      <c r="AK574" s="1994"/>
      <c r="AL574" s="1994"/>
      <c r="AN574" s="632"/>
    </row>
    <row r="575" spans="1:42" s="585" customFormat="1" ht="12.75" customHeight="1">
      <c r="B575" s="571"/>
      <c r="C575" s="967"/>
      <c r="D575" s="698"/>
      <c r="E575" s="874" t="s">
        <v>1967</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5"/>
      <c r="D576" s="698"/>
      <c r="E576" s="874" t="s">
        <v>1968</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5"/>
      <c r="D577" s="698"/>
      <c r="E577" s="874" t="s">
        <v>1970</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5"/>
      <c r="D578" s="698"/>
      <c r="E578" s="874" t="s">
        <v>1969</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5"/>
      <c r="D579" s="698"/>
      <c r="E579" s="968"/>
      <c r="F579" s="969"/>
      <c r="G579" s="969"/>
      <c r="H579" s="969"/>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5"/>
      <c r="D580" s="698" t="s">
        <v>280</v>
      </c>
      <c r="E580" s="874" t="s">
        <v>1971</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71"/>
      <c r="AD580" s="571"/>
      <c r="AE580" s="571"/>
      <c r="AF580" s="1994" t="s">
        <v>1552</v>
      </c>
      <c r="AG580" s="1994"/>
      <c r="AH580" s="1994"/>
      <c r="AI580" s="1994"/>
      <c r="AJ580" s="1994"/>
      <c r="AK580" s="1994"/>
      <c r="AL580" s="1994"/>
      <c r="AN580" s="632"/>
      <c r="AO580" s="646" t="s">
        <v>1572</v>
      </c>
      <c r="AP580" s="585">
        <v>3</v>
      </c>
    </row>
    <row r="581" spans="1:53" s="585" customFormat="1" ht="12.75" customHeight="1">
      <c r="B581" s="571"/>
      <c r="C581" s="967"/>
      <c r="D581" s="698"/>
      <c r="E581" s="874" t="s">
        <v>1967</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71"/>
      <c r="AD581" s="571"/>
      <c r="AE581" s="571"/>
      <c r="AF581" s="571"/>
      <c r="AG581" s="571"/>
      <c r="AH581" s="571"/>
      <c r="AI581" s="571"/>
      <c r="AJ581" s="571"/>
      <c r="AK581" s="571"/>
      <c r="AL581" s="571"/>
      <c r="AN581" s="632"/>
    </row>
    <row r="582" spans="1:53" s="585" customFormat="1" ht="12.75" customHeight="1">
      <c r="B582" s="571"/>
      <c r="C582" s="967"/>
      <c r="D582" s="698"/>
      <c r="E582" s="874" t="s">
        <v>1968</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71"/>
      <c r="AD582" s="571"/>
      <c r="AE582" s="571"/>
      <c r="AF582" s="571"/>
      <c r="AG582" s="571"/>
      <c r="AH582" s="571"/>
      <c r="AI582" s="571"/>
      <c r="AJ582" s="571"/>
      <c r="AK582" s="571"/>
      <c r="AL582" s="571"/>
      <c r="AN582" s="632"/>
    </row>
    <row r="583" spans="1:53" s="585" customFormat="1" ht="12.75" customHeight="1">
      <c r="B583" s="571"/>
      <c r="C583" s="967"/>
      <c r="D583" s="698"/>
      <c r="E583" s="874" t="s">
        <v>1970</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71"/>
      <c r="AD583" s="571"/>
      <c r="AE583" s="571"/>
      <c r="AF583" s="571"/>
      <c r="AG583" s="571"/>
      <c r="AH583" s="571"/>
      <c r="AI583" s="571"/>
      <c r="AJ583" s="571"/>
      <c r="AK583" s="571"/>
      <c r="AL583" s="571"/>
      <c r="AN583" s="632"/>
    </row>
    <row r="584" spans="1:53" s="585" customFormat="1" ht="12.75" customHeight="1">
      <c r="B584" s="571"/>
      <c r="C584" s="967"/>
      <c r="D584" s="698"/>
      <c r="E584" s="874" t="s">
        <v>1969</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5"/>
      <c r="D586" s="698" t="s">
        <v>1571</v>
      </c>
      <c r="E586" s="874" t="s">
        <v>1972</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71"/>
      <c r="AD586" s="571"/>
      <c r="AE586" s="571"/>
      <c r="AF586" s="1994" t="s">
        <v>1573</v>
      </c>
      <c r="AG586" s="1994"/>
      <c r="AH586" s="1994"/>
      <c r="AI586" s="1994"/>
      <c r="AJ586" s="1994"/>
      <c r="AK586" s="1994"/>
      <c r="AL586" s="1994"/>
      <c r="AN586" s="632"/>
      <c r="AO586" s="585" t="str">
        <f>X623</f>
        <v>N/A</v>
      </c>
    </row>
    <row r="587" spans="1:53" s="585" customFormat="1" ht="12.75" customHeight="1">
      <c r="B587" s="571"/>
      <c r="C587" s="967"/>
      <c r="D587" s="698"/>
      <c r="E587" s="874" t="s">
        <v>1973</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5"/>
      <c r="D588" s="698"/>
      <c r="E588" s="874" t="s">
        <v>1974</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71"/>
      <c r="AD588" s="571"/>
      <c r="AE588" s="571"/>
      <c r="AF588" s="571"/>
      <c r="AG588" s="571"/>
      <c r="AH588" s="571"/>
      <c r="AI588" s="571"/>
      <c r="AJ588" s="571"/>
      <c r="AK588" s="571"/>
      <c r="AL588" s="571"/>
      <c r="AN588" s="632"/>
    </row>
    <row r="589" spans="1:53" s="585" customFormat="1" ht="12.75" customHeight="1">
      <c r="B589" s="645"/>
      <c r="C589" s="965"/>
      <c r="D589" s="698"/>
      <c r="E589" s="874"/>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71"/>
      <c r="AD589" s="571"/>
      <c r="AE589" s="571"/>
      <c r="AF589" s="571"/>
      <c r="AG589" s="571"/>
      <c r="AH589" s="571"/>
      <c r="AI589" s="571"/>
      <c r="AJ589" s="571"/>
      <c r="AK589" s="571"/>
      <c r="AL589" s="571"/>
      <c r="AN589" s="632"/>
    </row>
    <row r="590" spans="1:53" s="585" customFormat="1" ht="12.75" customHeight="1">
      <c r="B590" s="645"/>
      <c r="C590" s="965"/>
      <c r="D590" s="698"/>
      <c r="E590" s="571" t="s">
        <v>2132</v>
      </c>
      <c r="O590" s="2032" t="s">
        <v>1328</v>
      </c>
      <c r="P590" s="2032"/>
      <c r="Q590" s="2032"/>
      <c r="R590" s="2032"/>
      <c r="S590" s="2032"/>
      <c r="T590" s="2032"/>
      <c r="U590" s="2032"/>
      <c r="V590" s="2032"/>
      <c r="W590" s="2032"/>
      <c r="X590" s="2032"/>
      <c r="Y590" s="2032"/>
      <c r="Z590" s="2032"/>
      <c r="AA590" s="2032"/>
      <c r="AB590" s="2032"/>
      <c r="AH590" s="571"/>
      <c r="AI590" s="571"/>
      <c r="AJ590" s="571"/>
      <c r="AK590" s="571"/>
      <c r="AL590" s="571"/>
      <c r="AN590" s="632"/>
    </row>
    <row r="591" spans="1:53" s="585" customFormat="1" ht="12.75" customHeight="1">
      <c r="B591" s="645"/>
      <c r="C591" s="965"/>
      <c r="D591" s="698"/>
      <c r="E591" s="874"/>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71"/>
      <c r="AD591" s="571"/>
      <c r="AE591" s="571"/>
      <c r="AF591" s="571"/>
      <c r="AG591" s="571"/>
      <c r="AH591" s="571"/>
      <c r="AI591" s="571"/>
      <c r="AJ591" s="571"/>
      <c r="AK591" s="571"/>
      <c r="AL591" s="571"/>
      <c r="AN591" s="632"/>
    </row>
    <row r="592" spans="1:53" s="585" customFormat="1" ht="12.75" customHeight="1">
      <c r="B592" s="571"/>
      <c r="C592" s="965"/>
      <c r="D592" s="698" t="s">
        <v>1572</v>
      </c>
      <c r="E592" s="874" t="s">
        <v>1976</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71"/>
      <c r="AD592" s="571"/>
      <c r="AE592" s="571"/>
      <c r="AF592" s="1994" t="s">
        <v>1526</v>
      </c>
      <c r="AG592" s="1994"/>
      <c r="AH592" s="1994"/>
      <c r="AI592" s="1994"/>
      <c r="AJ592" s="1994"/>
      <c r="AK592" s="1994"/>
      <c r="AL592" s="1994"/>
      <c r="AN592" s="632"/>
    </row>
    <row r="593" spans="2:47" s="585" customFormat="1" ht="12.75" customHeight="1">
      <c r="B593" s="571"/>
      <c r="C593" s="965"/>
      <c r="D593" s="698"/>
      <c r="E593" s="874" t="s">
        <v>1975</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71"/>
      <c r="AD593" s="571"/>
      <c r="AE593" s="629"/>
      <c r="AF593" s="571"/>
      <c r="AG593" s="571"/>
      <c r="AH593" s="571"/>
      <c r="AI593" s="571"/>
      <c r="AJ593" s="571"/>
      <c r="AK593" s="571"/>
      <c r="AL593" s="571"/>
      <c r="AN593" s="632"/>
    </row>
    <row r="594" spans="2:47" s="585" customFormat="1" ht="12.75" customHeight="1">
      <c r="B594" s="571"/>
      <c r="C594" s="967"/>
      <c r="D594" s="571"/>
      <c r="E594" s="651"/>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67"/>
      <c r="D595" s="571" t="s">
        <v>1574</v>
      </c>
      <c r="E595" s="970"/>
      <c r="F595" s="970"/>
      <c r="G595" s="970"/>
      <c r="H595" s="1938" t="s">
        <v>1571</v>
      </c>
      <c r="I595" s="1938"/>
      <c r="J595" s="970"/>
      <c r="K595" s="970"/>
      <c r="L595" s="970"/>
      <c r="M595" s="970"/>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67"/>
      <c r="D596" s="571"/>
      <c r="E596" s="970"/>
      <c r="F596" s="970"/>
      <c r="G596" s="970"/>
      <c r="H596" s="970"/>
      <c r="I596" s="970"/>
      <c r="J596" s="970"/>
      <c r="K596" s="970"/>
      <c r="L596" s="970"/>
      <c r="M596" s="970"/>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67"/>
      <c r="D597" s="571"/>
      <c r="E597" s="970"/>
      <c r="F597" s="970"/>
      <c r="G597" s="970"/>
      <c r="H597" s="970"/>
      <c r="I597" s="970"/>
      <c r="J597" s="970"/>
      <c r="K597" s="970"/>
      <c r="L597" s="970"/>
      <c r="M597" s="970"/>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67"/>
      <c r="D598" s="571" t="s">
        <v>1977</v>
      </c>
      <c r="E598" s="970"/>
      <c r="F598" s="970"/>
      <c r="G598" s="970"/>
      <c r="H598" s="970"/>
      <c r="I598" s="970"/>
      <c r="J598" s="970"/>
      <c r="K598" s="970"/>
      <c r="L598" s="970"/>
      <c r="M598" s="970"/>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67"/>
      <c r="D599" s="571" t="s">
        <v>1978</v>
      </c>
      <c r="E599" s="970"/>
      <c r="F599" s="970"/>
      <c r="G599" s="970"/>
      <c r="H599" s="970"/>
      <c r="I599" s="970"/>
      <c r="J599" s="970"/>
      <c r="K599" s="970"/>
      <c r="L599" s="970"/>
      <c r="M599" s="970"/>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67"/>
      <c r="D600" s="571" t="s">
        <v>1979</v>
      </c>
      <c r="E600" s="970"/>
      <c r="F600" s="970"/>
      <c r="G600" s="970"/>
      <c r="H600" s="970"/>
      <c r="I600" s="970"/>
      <c r="J600" s="970"/>
      <c r="K600" s="970"/>
      <c r="L600" s="970"/>
      <c r="M600" s="970"/>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67"/>
      <c r="D601" s="640" t="s">
        <v>1980</v>
      </c>
      <c r="E601" s="970"/>
      <c r="F601" s="970"/>
      <c r="G601" s="970"/>
      <c r="H601" s="970"/>
      <c r="I601" s="970"/>
      <c r="J601" s="970"/>
      <c r="K601" s="970"/>
      <c r="L601" s="970"/>
      <c r="M601" s="970"/>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67"/>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67"/>
      <c r="D603" s="571"/>
      <c r="E603" s="571" t="s">
        <v>1574</v>
      </c>
      <c r="F603" s="970"/>
      <c r="G603" s="970"/>
      <c r="I603" s="2031" t="s">
        <v>601</v>
      </c>
      <c r="J603" s="2031"/>
      <c r="K603" s="2031"/>
      <c r="L603" s="2031"/>
      <c r="M603" s="2031"/>
      <c r="N603" s="2031"/>
      <c r="O603" s="2031"/>
      <c r="P603" s="2031"/>
      <c r="Q603" s="2031"/>
      <c r="R603" s="2031"/>
      <c r="S603" s="2031"/>
      <c r="T603" s="2031"/>
      <c r="U603" s="2031"/>
      <c r="V603" s="2031"/>
      <c r="W603" s="2031"/>
      <c r="X603" s="2031"/>
      <c r="Y603" s="2031"/>
      <c r="Z603" s="2031"/>
      <c r="AA603" s="2031"/>
      <c r="AB603" s="2031"/>
      <c r="AC603" s="2031"/>
      <c r="AD603" s="2031"/>
      <c r="AE603" s="2031"/>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29" t="s">
        <v>601</v>
      </c>
      <c r="C605" s="2029"/>
      <c r="D605" s="677"/>
      <c r="E605" s="1914" t="s">
        <v>1577</v>
      </c>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c r="AA605" s="1914"/>
      <c r="AB605" s="1914"/>
      <c r="AC605" s="1914"/>
      <c r="AD605" s="1914"/>
      <c r="AE605" s="1914"/>
      <c r="AF605" s="1914"/>
      <c r="AG605" s="1914"/>
      <c r="AH605" s="677"/>
      <c r="AI605" s="677"/>
      <c r="AJ605" s="677"/>
      <c r="AK605" s="677"/>
      <c r="AL605" s="677"/>
      <c r="AN605" s="632"/>
    </row>
    <row r="606" spans="2:47" s="585" customFormat="1" ht="12.75" customHeight="1">
      <c r="B606" s="571"/>
      <c r="C606" s="967"/>
      <c r="D606" s="677"/>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c r="AA606" s="1914"/>
      <c r="AB606" s="1914"/>
      <c r="AC606" s="1914"/>
      <c r="AD606" s="1914"/>
      <c r="AE606" s="1914"/>
      <c r="AF606" s="1914"/>
      <c r="AG606" s="1914"/>
      <c r="AH606" s="677"/>
      <c r="AI606" s="677"/>
      <c r="AJ606" s="677"/>
      <c r="AK606" s="677"/>
      <c r="AL606" s="677"/>
      <c r="AN606" s="632"/>
    </row>
    <row r="607" spans="2:47" s="585" customFormat="1" ht="12.75" customHeight="1">
      <c r="B607" s="571"/>
      <c r="C607" s="967"/>
      <c r="D607" s="677"/>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c r="AA607" s="1914"/>
      <c r="AB607" s="1914"/>
      <c r="AC607" s="1914"/>
      <c r="AD607" s="1914"/>
      <c r="AE607" s="1914"/>
      <c r="AF607" s="1914"/>
      <c r="AG607" s="1914"/>
      <c r="AH607" s="677"/>
      <c r="AI607" s="677"/>
      <c r="AJ607" s="677"/>
      <c r="AK607" s="677"/>
      <c r="AL607" s="677"/>
      <c r="AN607" s="632"/>
    </row>
    <row r="608" spans="2:47" s="585" customFormat="1" ht="12.75" customHeight="1">
      <c r="B608" s="571"/>
      <c r="C608" s="967"/>
      <c r="D608" s="677"/>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c r="AA608" s="1914"/>
      <c r="AB608" s="1914"/>
      <c r="AC608" s="1914"/>
      <c r="AD608" s="1914"/>
      <c r="AE608" s="1914"/>
      <c r="AF608" s="1914"/>
      <c r="AG608" s="1914"/>
      <c r="AH608" s="677"/>
      <c r="AI608" s="677"/>
      <c r="AJ608" s="677"/>
      <c r="AK608" s="677"/>
      <c r="AL608" s="677"/>
      <c r="AN608" s="632"/>
    </row>
    <row r="609" spans="1:42" s="585" customFormat="1" ht="12.75" customHeight="1">
      <c r="B609" s="571"/>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7"/>
      <c r="AN609" s="632"/>
    </row>
    <row r="610" spans="1:42" s="585" customFormat="1" ht="12.75" customHeight="1">
      <c r="A610" s="641"/>
      <c r="B610" s="636"/>
      <c r="C610" s="972"/>
      <c r="D610" s="636"/>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6"/>
      <c r="AC610" s="636"/>
      <c r="AD610" s="636"/>
      <c r="AE610" s="636"/>
      <c r="AF610" s="636"/>
      <c r="AG610" s="636"/>
      <c r="AH610" s="636"/>
      <c r="AI610" s="600" t="s">
        <v>1578</v>
      </c>
      <c r="AJ610" s="1921">
        <f>VLOOKUP($H$595,$AO$575:$AP$580,2,FALSE)+VLOOKUP($I$603,$AO$602:$AP$604,2,FALSE)</f>
        <v>4</v>
      </c>
      <c r="AK610" s="1923"/>
      <c r="AL610" s="630"/>
      <c r="AM610" s="710"/>
      <c r="AN610" s="632"/>
    </row>
    <row r="611" spans="1:42" s="585" customFormat="1" ht="12.75" customHeight="1">
      <c r="B611" s="571"/>
      <c r="C611" s="967"/>
      <c r="D611" s="571"/>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71"/>
      <c r="AD611" s="571"/>
      <c r="AE611" s="970"/>
      <c r="AF611" s="970"/>
      <c r="AG611" s="970"/>
      <c r="AH611" s="970"/>
      <c r="AI611" s="970"/>
      <c r="AJ611" s="970"/>
      <c r="AK611" s="970"/>
      <c r="AL611" s="970"/>
      <c r="AM611" s="710"/>
      <c r="AN611" s="632"/>
    </row>
    <row r="612" spans="1:42" s="585" customFormat="1" ht="12.75" customHeight="1">
      <c r="B612" s="571"/>
      <c r="C612" s="574" t="s">
        <v>1579</v>
      </c>
      <c r="D612" s="574"/>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71"/>
      <c r="AD612" s="571"/>
      <c r="AE612" s="571"/>
      <c r="AF612" s="571"/>
      <c r="AG612" s="571"/>
      <c r="AH612" s="571"/>
      <c r="AI612" s="571"/>
      <c r="AJ612" s="571"/>
      <c r="AK612" s="571"/>
      <c r="AL612" s="571"/>
      <c r="AN612" s="632"/>
    </row>
    <row r="613" spans="1:42" s="585" customFormat="1" ht="12.75" customHeight="1">
      <c r="B613" s="645"/>
      <c r="C613" s="571"/>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30" t="s">
        <v>1956</v>
      </c>
      <c r="F614" s="2030"/>
      <c r="G614" s="2030"/>
      <c r="H614" s="2030"/>
      <c r="I614" s="2030"/>
      <c r="J614" s="2030"/>
      <c r="K614" s="2030"/>
      <c r="L614" s="2030"/>
      <c r="M614" s="2030"/>
      <c r="N614" s="2030"/>
      <c r="O614" s="2030"/>
      <c r="P614" s="2030"/>
      <c r="Q614" s="2030"/>
      <c r="R614" s="2030"/>
      <c r="S614" s="2030"/>
      <c r="T614" s="2030"/>
      <c r="U614" s="2030"/>
      <c r="V614" s="2030"/>
      <c r="W614" s="2030"/>
      <c r="X614" s="2030"/>
      <c r="Y614" s="2030"/>
      <c r="Z614" s="2030"/>
      <c r="AA614" s="2030"/>
      <c r="AB614" s="2030"/>
      <c r="AC614" s="2030"/>
      <c r="AD614" s="2030"/>
      <c r="AE614" s="574"/>
      <c r="AF614" s="1994" t="s">
        <v>1526</v>
      </c>
      <c r="AG614" s="1994"/>
      <c r="AH614" s="1994"/>
      <c r="AI614" s="1994"/>
      <c r="AJ614" s="1994"/>
      <c r="AK614" s="1994"/>
      <c r="AL614" s="1994"/>
      <c r="AM614" s="585"/>
      <c r="AN614" s="713"/>
    </row>
    <row r="615" spans="1:42" s="585" customFormat="1" ht="12.75" customHeight="1">
      <c r="A615" s="714"/>
      <c r="B615" s="571"/>
      <c r="C615" s="967"/>
      <c r="D615" s="698"/>
      <c r="E615" s="2030"/>
      <c r="F615" s="2030"/>
      <c r="G615" s="2030"/>
      <c r="H615" s="2030"/>
      <c r="I615" s="2030"/>
      <c r="J615" s="2030"/>
      <c r="K615" s="2030"/>
      <c r="L615" s="2030"/>
      <c r="M615" s="2030"/>
      <c r="N615" s="2030"/>
      <c r="O615" s="2030"/>
      <c r="P615" s="2030"/>
      <c r="Q615" s="2030"/>
      <c r="R615" s="2030"/>
      <c r="S615" s="2030"/>
      <c r="T615" s="2030"/>
      <c r="U615" s="2030"/>
      <c r="V615" s="2030"/>
      <c r="W615" s="2030"/>
      <c r="X615" s="2030"/>
      <c r="Y615" s="2030"/>
      <c r="Z615" s="2030"/>
      <c r="AA615" s="2030"/>
      <c r="AB615" s="2030"/>
      <c r="AC615" s="2030"/>
      <c r="AD615" s="2030"/>
      <c r="AE615" s="571"/>
      <c r="AF615" s="571"/>
      <c r="AG615" s="571"/>
      <c r="AH615" s="571"/>
      <c r="AI615" s="571"/>
      <c r="AJ615" s="571"/>
      <c r="AK615" s="571"/>
      <c r="AL615" s="571"/>
      <c r="AN615" s="632"/>
    </row>
    <row r="616" spans="1:42" s="585" customFormat="1" ht="12.75" customHeight="1">
      <c r="B616" s="571"/>
      <c r="C616" s="965"/>
      <c r="D616" s="698"/>
      <c r="E616" s="2030"/>
      <c r="F616" s="2030"/>
      <c r="G616" s="2030"/>
      <c r="H616" s="2030"/>
      <c r="I616" s="2030"/>
      <c r="J616" s="2030"/>
      <c r="K616" s="2030"/>
      <c r="L616" s="2030"/>
      <c r="M616" s="2030"/>
      <c r="N616" s="2030"/>
      <c r="O616" s="2030"/>
      <c r="P616" s="2030"/>
      <c r="Q616" s="2030"/>
      <c r="R616" s="2030"/>
      <c r="S616" s="2030"/>
      <c r="T616" s="2030"/>
      <c r="U616" s="2030"/>
      <c r="V616" s="2030"/>
      <c r="W616" s="2030"/>
      <c r="X616" s="2030"/>
      <c r="Y616" s="2030"/>
      <c r="Z616" s="2030"/>
      <c r="AA616" s="2030"/>
      <c r="AB616" s="2030"/>
      <c r="AC616" s="2030"/>
      <c r="AD616" s="2030"/>
      <c r="AE616" s="571"/>
      <c r="AF616" s="571"/>
      <c r="AG616" s="571"/>
      <c r="AH616" s="571"/>
      <c r="AI616" s="571"/>
      <c r="AJ616" s="571"/>
      <c r="AK616" s="571"/>
      <c r="AL616" s="571"/>
      <c r="AN616" s="632"/>
    </row>
    <row r="617" spans="1:42" s="585" customFormat="1" ht="12.75" customHeight="1">
      <c r="B617" s="571"/>
      <c r="C617" s="965"/>
      <c r="D617" s="698"/>
      <c r="E617" s="2030"/>
      <c r="F617" s="2030"/>
      <c r="G617" s="2030"/>
      <c r="H617" s="2030"/>
      <c r="I617" s="2030"/>
      <c r="J617" s="2030"/>
      <c r="K617" s="2030"/>
      <c r="L617" s="2030"/>
      <c r="M617" s="2030"/>
      <c r="N617" s="2030"/>
      <c r="O617" s="2030"/>
      <c r="P617" s="2030"/>
      <c r="Q617" s="2030"/>
      <c r="R617" s="2030"/>
      <c r="S617" s="2030"/>
      <c r="T617" s="2030"/>
      <c r="U617" s="2030"/>
      <c r="V617" s="2030"/>
      <c r="W617" s="2030"/>
      <c r="X617" s="2030"/>
      <c r="Y617" s="2030"/>
      <c r="Z617" s="2030"/>
      <c r="AA617" s="2030"/>
      <c r="AB617" s="2030"/>
      <c r="AC617" s="2030"/>
      <c r="AD617" s="2030"/>
      <c r="AE617" s="571"/>
      <c r="AF617" s="571"/>
      <c r="AG617" s="571"/>
      <c r="AH617" s="571"/>
      <c r="AI617" s="571"/>
      <c r="AJ617" s="571"/>
      <c r="AK617" s="571"/>
      <c r="AL617" s="571"/>
      <c r="AN617" s="632"/>
    </row>
    <row r="618" spans="1:42" s="585" customFormat="1" ht="12.75" customHeight="1">
      <c r="B618" s="571"/>
      <c r="C618" s="965"/>
      <c r="D618" s="698"/>
      <c r="E618" s="2030"/>
      <c r="F618" s="2030"/>
      <c r="G618" s="2030"/>
      <c r="H618" s="2030"/>
      <c r="I618" s="2030"/>
      <c r="J618" s="2030"/>
      <c r="K618" s="2030"/>
      <c r="L618" s="2030"/>
      <c r="M618" s="2030"/>
      <c r="N618" s="2030"/>
      <c r="O618" s="2030"/>
      <c r="P618" s="2030"/>
      <c r="Q618" s="2030"/>
      <c r="R618" s="2030"/>
      <c r="S618" s="2030"/>
      <c r="T618" s="2030"/>
      <c r="U618" s="2030"/>
      <c r="V618" s="2030"/>
      <c r="W618" s="2030"/>
      <c r="X618" s="2030"/>
      <c r="Y618" s="2030"/>
      <c r="Z618" s="2030"/>
      <c r="AA618" s="2030"/>
      <c r="AB618" s="2030"/>
      <c r="AC618" s="2030"/>
      <c r="AD618" s="2030"/>
      <c r="AE618" s="571"/>
      <c r="AF618" s="571"/>
      <c r="AG618" s="571"/>
      <c r="AH618" s="571"/>
      <c r="AI618" s="571"/>
      <c r="AJ618" s="571"/>
      <c r="AK618" s="571"/>
      <c r="AL618" s="571"/>
      <c r="AN618" s="632"/>
    </row>
    <row r="619" spans="1:42" s="585" customFormat="1" ht="12.75" customHeight="1">
      <c r="B619" s="571"/>
      <c r="C619" s="965"/>
      <c r="D619" s="698"/>
      <c r="E619" s="2030"/>
      <c r="F619" s="2030"/>
      <c r="G619" s="2030"/>
      <c r="H619" s="2030"/>
      <c r="I619" s="2030"/>
      <c r="J619" s="2030"/>
      <c r="K619" s="2030"/>
      <c r="L619" s="2030"/>
      <c r="M619" s="2030"/>
      <c r="N619" s="2030"/>
      <c r="O619" s="2030"/>
      <c r="P619" s="2030"/>
      <c r="Q619" s="2030"/>
      <c r="R619" s="2030"/>
      <c r="S619" s="2030"/>
      <c r="T619" s="2030"/>
      <c r="U619" s="2030"/>
      <c r="V619" s="2030"/>
      <c r="W619" s="2030"/>
      <c r="X619" s="2030"/>
      <c r="Y619" s="2030"/>
      <c r="Z619" s="2030"/>
      <c r="AA619" s="2030"/>
      <c r="AB619" s="2030"/>
      <c r="AC619" s="2030"/>
      <c r="AD619" s="2030"/>
      <c r="AE619" s="571"/>
      <c r="AF619" s="571"/>
      <c r="AG619" s="571"/>
      <c r="AH619" s="571"/>
      <c r="AI619" s="571"/>
      <c r="AJ619" s="571"/>
      <c r="AK619" s="571"/>
      <c r="AL619" s="571"/>
      <c r="AN619" s="632"/>
    </row>
    <row r="620" spans="1:42" s="585" customFormat="1" ht="12.75" customHeight="1">
      <c r="A620" s="672"/>
      <c r="B620" s="651"/>
      <c r="C620" s="974"/>
      <c r="D620" s="698"/>
      <c r="E620" s="2030"/>
      <c r="F620" s="2030"/>
      <c r="G620" s="2030"/>
      <c r="H620" s="2030"/>
      <c r="I620" s="2030"/>
      <c r="J620" s="2030"/>
      <c r="K620" s="2030"/>
      <c r="L620" s="2030"/>
      <c r="M620" s="2030"/>
      <c r="N620" s="2030"/>
      <c r="O620" s="2030"/>
      <c r="P620" s="2030"/>
      <c r="Q620" s="2030"/>
      <c r="R620" s="2030"/>
      <c r="S620" s="2030"/>
      <c r="T620" s="2030"/>
      <c r="U620" s="2030"/>
      <c r="V620" s="2030"/>
      <c r="W620" s="2030"/>
      <c r="X620" s="2030"/>
      <c r="Y620" s="2030"/>
      <c r="Z620" s="2030"/>
      <c r="AA620" s="2030"/>
      <c r="AB620" s="2030"/>
      <c r="AC620" s="2030"/>
      <c r="AD620" s="2030"/>
      <c r="AE620" s="651"/>
      <c r="AF620" s="651"/>
      <c r="AG620" s="651"/>
      <c r="AH620" s="651"/>
      <c r="AI620" s="651"/>
      <c r="AJ620" s="651"/>
      <c r="AK620" s="571"/>
      <c r="AL620" s="571"/>
      <c r="AN620" s="632"/>
    </row>
    <row r="621" spans="1:42" s="585" customFormat="1" ht="12.75" customHeight="1">
      <c r="B621" s="651"/>
      <c r="C621" s="974"/>
      <c r="D621" s="698"/>
      <c r="E621" s="2030"/>
      <c r="F621" s="2030"/>
      <c r="G621" s="2030"/>
      <c r="H621" s="2030"/>
      <c r="I621" s="2030"/>
      <c r="J621" s="2030"/>
      <c r="K621" s="2030"/>
      <c r="L621" s="2030"/>
      <c r="M621" s="2030"/>
      <c r="N621" s="2030"/>
      <c r="O621" s="2030"/>
      <c r="P621" s="2030"/>
      <c r="Q621" s="2030"/>
      <c r="R621" s="2030"/>
      <c r="S621" s="2030"/>
      <c r="T621" s="2030"/>
      <c r="U621" s="2030"/>
      <c r="V621" s="2030"/>
      <c r="W621" s="2030"/>
      <c r="X621" s="2030"/>
      <c r="Y621" s="2030"/>
      <c r="Z621" s="2030"/>
      <c r="AA621" s="2030"/>
      <c r="AB621" s="2030"/>
      <c r="AC621" s="2030"/>
      <c r="AD621" s="2030"/>
      <c r="AE621" s="651"/>
      <c r="AF621" s="651"/>
      <c r="AG621" s="651"/>
      <c r="AH621" s="651"/>
      <c r="AI621" s="651"/>
      <c r="AJ621" s="651"/>
      <c r="AK621" s="571"/>
      <c r="AL621" s="571"/>
      <c r="AN621" s="632"/>
    </row>
    <row r="622" spans="1:42" s="585" customFormat="1" ht="12" customHeight="1">
      <c r="B622" s="651"/>
      <c r="C622" s="974"/>
      <c r="D622" s="698"/>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51"/>
      <c r="AF622" s="651"/>
      <c r="AG622" s="651"/>
      <c r="AH622" s="651"/>
      <c r="AI622" s="651"/>
      <c r="AJ622" s="651"/>
      <c r="AK622" s="571"/>
      <c r="AL622" s="571"/>
      <c r="AN622" s="632"/>
      <c r="AO622" s="585" t="s">
        <v>601</v>
      </c>
      <c r="AP622" s="708">
        <v>0</v>
      </c>
    </row>
    <row r="623" spans="1:42" s="585" customFormat="1" ht="12.75" customHeight="1">
      <c r="B623" s="651"/>
      <c r="C623" s="965"/>
      <c r="D623" s="698"/>
      <c r="E623" s="651" t="s">
        <v>1580</v>
      </c>
      <c r="F623" s="975"/>
      <c r="G623" s="975"/>
      <c r="H623" s="975"/>
      <c r="I623" s="975"/>
      <c r="J623" s="975"/>
      <c r="K623" s="975"/>
      <c r="L623" s="975"/>
      <c r="M623" s="975"/>
      <c r="N623" s="975"/>
      <c r="O623" s="975"/>
      <c r="P623" s="975"/>
      <c r="Q623" s="975"/>
      <c r="R623" s="975"/>
      <c r="U623" s="975"/>
      <c r="V623" s="975"/>
      <c r="W623" s="975"/>
      <c r="X623" s="2029" t="s">
        <v>601</v>
      </c>
      <c r="Y623" s="2029"/>
      <c r="Z623" s="975"/>
      <c r="AA623" s="975"/>
      <c r="AB623" s="975"/>
      <c r="AC623" s="975"/>
      <c r="AD623" s="975"/>
      <c r="AE623" s="571"/>
      <c r="AF623" s="651"/>
      <c r="AG623" s="651"/>
      <c r="AH623" s="651"/>
      <c r="AI623" s="651"/>
      <c r="AJ623" s="651"/>
      <c r="AK623" s="571"/>
      <c r="AL623" s="571"/>
      <c r="AN623" s="632"/>
      <c r="AO623" s="646" t="s">
        <v>698</v>
      </c>
      <c r="AP623" s="585">
        <v>5</v>
      </c>
    </row>
    <row r="624" spans="1:42" s="585" customFormat="1" ht="12.75" customHeight="1">
      <c r="B624" s="651"/>
      <c r="C624" s="974"/>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5"/>
      <c r="D625" s="698" t="s">
        <v>519</v>
      </c>
      <c r="E625" s="590" t="s">
        <v>1581</v>
      </c>
      <c r="F625" s="976"/>
      <c r="G625" s="976"/>
      <c r="H625" s="976"/>
      <c r="I625" s="976"/>
      <c r="J625" s="976"/>
      <c r="K625" s="976"/>
      <c r="L625" s="976"/>
      <c r="M625" s="976"/>
      <c r="N625" s="976"/>
      <c r="O625" s="976"/>
      <c r="P625" s="976"/>
      <c r="Q625" s="976"/>
      <c r="R625" s="976"/>
      <c r="S625" s="976"/>
      <c r="T625" s="976"/>
      <c r="U625" s="571"/>
      <c r="V625" s="571"/>
      <c r="W625" s="976"/>
      <c r="X625" s="976"/>
      <c r="Y625" s="976"/>
      <c r="Z625" s="976"/>
      <c r="AA625" s="976"/>
      <c r="AB625" s="976"/>
      <c r="AC625" s="571"/>
      <c r="AD625" s="571"/>
      <c r="AE625" s="571"/>
      <c r="AF625" s="1994" t="s">
        <v>1582</v>
      </c>
      <c r="AG625" s="1994"/>
      <c r="AH625" s="1994"/>
      <c r="AI625" s="1994"/>
      <c r="AJ625" s="1994"/>
      <c r="AK625" s="1994"/>
      <c r="AL625" s="1994"/>
      <c r="AN625" s="632"/>
      <c r="AO625" s="646" t="s">
        <v>280</v>
      </c>
      <c r="AP625" s="585">
        <v>3</v>
      </c>
    </row>
    <row r="626" spans="1:42" s="585" customFormat="1" ht="12.75" customHeight="1">
      <c r="B626" s="571"/>
      <c r="C626" s="965"/>
      <c r="D626" s="571"/>
      <c r="E626" s="571"/>
      <c r="F626" s="976"/>
      <c r="G626" s="976"/>
      <c r="H626" s="976"/>
      <c r="I626" s="976"/>
      <c r="J626" s="976"/>
      <c r="K626" s="976"/>
      <c r="L626" s="976"/>
      <c r="M626" s="976"/>
      <c r="N626" s="976"/>
      <c r="O626" s="976"/>
      <c r="P626" s="976"/>
      <c r="Q626" s="976"/>
      <c r="R626" s="976"/>
      <c r="S626" s="976"/>
      <c r="T626" s="976"/>
      <c r="U626" s="571"/>
      <c r="V626" s="571"/>
      <c r="W626" s="571"/>
      <c r="X626" s="976"/>
      <c r="Y626" s="976"/>
      <c r="Z626" s="976"/>
      <c r="AA626" s="976"/>
      <c r="AB626" s="976"/>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5"/>
      <c r="D627" s="571" t="s">
        <v>1574</v>
      </c>
      <c r="E627" s="970"/>
      <c r="F627" s="970"/>
      <c r="G627" s="970"/>
      <c r="H627" s="1938" t="s">
        <v>698</v>
      </c>
      <c r="I627" s="1938"/>
      <c r="J627" s="976"/>
      <c r="K627" s="976"/>
      <c r="L627" s="976"/>
      <c r="M627" s="976"/>
      <c r="N627" s="976"/>
      <c r="O627" s="976"/>
      <c r="P627" s="976"/>
      <c r="Q627" s="976"/>
      <c r="R627" s="976"/>
      <c r="S627" s="976"/>
      <c r="T627" s="976"/>
      <c r="U627" s="970"/>
      <c r="V627" s="970"/>
      <c r="W627" s="970"/>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5"/>
      <c r="D628" s="571"/>
      <c r="E628" s="970"/>
      <c r="F628" s="976"/>
      <c r="G628" s="976"/>
      <c r="H628" s="976"/>
      <c r="I628" s="977"/>
      <c r="J628" s="976"/>
      <c r="K628" s="976"/>
      <c r="L628" s="976"/>
      <c r="M628" s="976"/>
      <c r="N628" s="976"/>
      <c r="O628" s="976"/>
      <c r="P628" s="976"/>
      <c r="Q628" s="976"/>
      <c r="R628" s="571"/>
      <c r="S628" s="571"/>
      <c r="T628" s="976"/>
      <c r="U628" s="970"/>
      <c r="V628" s="970"/>
      <c r="W628" s="970"/>
      <c r="X628" s="970"/>
      <c r="Y628" s="970"/>
      <c r="Z628" s="970"/>
      <c r="AA628" s="970"/>
      <c r="AB628" s="970"/>
      <c r="AC628" s="571"/>
      <c r="AD628" s="571"/>
      <c r="AE628" s="571"/>
      <c r="AF628" s="571"/>
      <c r="AG628" s="571"/>
      <c r="AH628" s="571"/>
      <c r="AI628" s="976"/>
      <c r="AJ628" s="976"/>
      <c r="AK628" s="976"/>
      <c r="AL628" s="976"/>
      <c r="AM628" s="716"/>
      <c r="AN628" s="632"/>
      <c r="AO628" s="646" t="s">
        <v>1583</v>
      </c>
      <c r="AP628" s="585">
        <v>2</v>
      </c>
    </row>
    <row r="629" spans="1:42" s="585" customFormat="1" ht="12.75" customHeight="1">
      <c r="A629" s="641"/>
      <c r="B629" s="636"/>
      <c r="C629" s="978"/>
      <c r="D629" s="636"/>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6"/>
      <c r="AC629" s="636"/>
      <c r="AD629" s="636"/>
      <c r="AE629" s="636"/>
      <c r="AF629" s="636"/>
      <c r="AG629" s="636"/>
      <c r="AH629" s="636"/>
      <c r="AI629" s="600" t="s">
        <v>1584</v>
      </c>
      <c r="AJ629" s="1921">
        <f>VLOOKUP($H$627,$AO$594:$AP$596,2,FALSE)</f>
        <v>3</v>
      </c>
      <c r="AK629" s="1923"/>
      <c r="AL629" s="630"/>
      <c r="AN629" s="632"/>
      <c r="AO629" s="646" t="s">
        <v>1585</v>
      </c>
      <c r="AP629" s="585">
        <v>1</v>
      </c>
    </row>
    <row r="630" spans="1:42" s="585" customFormat="1" ht="12.75" customHeight="1">
      <c r="B630" s="571"/>
      <c r="C630" s="965"/>
      <c r="D630" s="571"/>
      <c r="E630" s="970"/>
      <c r="F630" s="970"/>
      <c r="G630" s="970"/>
      <c r="H630" s="571"/>
      <c r="I630" s="571"/>
      <c r="J630" s="976"/>
      <c r="K630" s="976"/>
      <c r="L630" s="976"/>
      <c r="M630" s="976"/>
      <c r="N630" s="976"/>
      <c r="O630" s="976"/>
      <c r="P630" s="976"/>
      <c r="Q630" s="976"/>
      <c r="R630" s="976"/>
      <c r="S630" s="976"/>
      <c r="T630" s="976"/>
      <c r="U630" s="970"/>
      <c r="V630" s="970"/>
      <c r="W630" s="970"/>
      <c r="X630" s="970"/>
      <c r="Y630" s="970"/>
      <c r="Z630" s="970"/>
      <c r="AA630" s="970"/>
      <c r="AB630" s="970"/>
      <c r="AC630" s="571"/>
      <c r="AD630" s="571"/>
      <c r="AE630" s="571"/>
      <c r="AF630" s="571"/>
      <c r="AG630" s="571"/>
      <c r="AH630" s="571"/>
      <c r="AI630" s="571"/>
      <c r="AJ630" s="578"/>
      <c r="AK630" s="571"/>
      <c r="AL630" s="571"/>
      <c r="AN630" s="632"/>
    </row>
    <row r="631" spans="1:42" s="585" customFormat="1" ht="12.75" customHeight="1">
      <c r="B631" s="571"/>
      <c r="C631" s="574" t="s">
        <v>1586</v>
      </c>
      <c r="D631" s="571"/>
      <c r="E631" s="970"/>
      <c r="F631" s="976"/>
      <c r="G631" s="976"/>
      <c r="H631" s="976"/>
      <c r="I631" s="976"/>
      <c r="J631" s="976"/>
      <c r="K631" s="976"/>
      <c r="L631" s="976"/>
      <c r="M631" s="976"/>
      <c r="N631" s="976"/>
      <c r="O631" s="976"/>
      <c r="P631" s="976"/>
      <c r="Q631" s="976"/>
      <c r="R631" s="976"/>
      <c r="S631" s="976"/>
      <c r="T631" s="976"/>
      <c r="U631" s="571"/>
      <c r="V631" s="571"/>
      <c r="W631" s="976"/>
      <c r="X631" s="976"/>
      <c r="Y631" s="976"/>
      <c r="Z631" s="976"/>
      <c r="AA631" s="976"/>
      <c r="AB631" s="976"/>
      <c r="AC631" s="629"/>
      <c r="AD631" s="629"/>
      <c r="AE631" s="629"/>
      <c r="AF631" s="629"/>
      <c r="AG631" s="629"/>
      <c r="AH631" s="629"/>
      <c r="AI631" s="629"/>
      <c r="AJ631" s="571"/>
      <c r="AK631" s="571"/>
      <c r="AL631" s="571"/>
      <c r="AN631" s="632"/>
    </row>
    <row r="632" spans="1:42" s="585" customFormat="1" ht="12.75" customHeight="1">
      <c r="A632" s="672"/>
      <c r="B632" s="571"/>
      <c r="C632" s="967"/>
      <c r="D632" s="571"/>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71"/>
      <c r="AD632" s="571"/>
      <c r="AE632" s="571"/>
      <c r="AF632" s="571"/>
      <c r="AG632" s="571"/>
      <c r="AH632" s="571"/>
      <c r="AI632" s="571"/>
      <c r="AJ632" s="571"/>
      <c r="AK632" s="571"/>
      <c r="AL632" s="571"/>
      <c r="AN632" s="632"/>
    </row>
    <row r="633" spans="1:42" s="585" customFormat="1" ht="12.75" customHeight="1">
      <c r="B633" s="571"/>
      <c r="C633" s="571"/>
      <c r="D633" s="698" t="s">
        <v>698</v>
      </c>
      <c r="E633" s="1914" t="s">
        <v>2517</v>
      </c>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c r="AA633" s="1914"/>
      <c r="AB633" s="1914"/>
      <c r="AC633" s="1914"/>
      <c r="AD633" s="1914"/>
      <c r="AE633" s="571"/>
      <c r="AF633" s="1994" t="s">
        <v>1526</v>
      </c>
      <c r="AG633" s="1994"/>
      <c r="AH633" s="1994"/>
      <c r="AI633" s="1994"/>
      <c r="AJ633" s="1994"/>
      <c r="AK633" s="1994"/>
      <c r="AL633" s="1994"/>
      <c r="AN633" s="632"/>
    </row>
    <row r="634" spans="1:42" s="585" customFormat="1" ht="12.75" customHeight="1">
      <c r="B634" s="571"/>
      <c r="C634" s="571"/>
      <c r="D634" s="698"/>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c r="AA634" s="1914"/>
      <c r="AB634" s="1914"/>
      <c r="AC634" s="1914"/>
      <c r="AD634" s="1914"/>
      <c r="AE634" s="629"/>
      <c r="AF634" s="629"/>
      <c r="AG634" s="629"/>
      <c r="AH634" s="629"/>
      <c r="AI634" s="629"/>
      <c r="AJ634" s="629"/>
      <c r="AK634" s="629"/>
      <c r="AL634" s="629"/>
      <c r="AN634" s="632"/>
    </row>
    <row r="635" spans="1:42" s="585" customFormat="1" ht="12.75" customHeight="1">
      <c r="B635" s="651"/>
      <c r="C635" s="974"/>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5"/>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94" t="s">
        <v>1582</v>
      </c>
      <c r="AG636" s="1994"/>
      <c r="AH636" s="1994"/>
      <c r="AI636" s="1994"/>
      <c r="AJ636" s="1994"/>
      <c r="AK636" s="1994"/>
      <c r="AL636" s="1994"/>
      <c r="AN636" s="632"/>
    </row>
    <row r="637" spans="1:42" s="585" customFormat="1" ht="12.75" customHeight="1">
      <c r="B637" s="571"/>
      <c r="C637" s="965"/>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5"/>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5"/>
      <c r="D639" s="571" t="s">
        <v>1574</v>
      </c>
      <c r="E639" s="970"/>
      <c r="F639" s="970"/>
      <c r="G639" s="970"/>
      <c r="H639" s="1938" t="s">
        <v>519</v>
      </c>
      <c r="I639" s="193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5"/>
      <c r="D640" s="571"/>
      <c r="E640" s="970"/>
      <c r="F640" s="970"/>
      <c r="G640" s="651"/>
      <c r="H640" s="651"/>
      <c r="I640" s="651"/>
      <c r="J640" s="651"/>
      <c r="K640" s="651"/>
      <c r="L640" s="651"/>
      <c r="M640" s="651"/>
      <c r="N640" s="651"/>
      <c r="O640" s="651"/>
      <c r="P640" s="651"/>
      <c r="Q640" s="651"/>
      <c r="R640" s="651"/>
      <c r="S640" s="651"/>
      <c r="T640" s="651"/>
      <c r="U640" s="651"/>
      <c r="V640" s="651"/>
      <c r="W640" s="651"/>
      <c r="X640" s="651"/>
      <c r="Y640" s="651"/>
      <c r="Z640" s="970"/>
      <c r="AA640" s="970"/>
      <c r="AB640" s="970"/>
      <c r="AC640" s="571"/>
      <c r="AD640" s="571"/>
      <c r="AE640" s="571"/>
      <c r="AF640" s="571"/>
      <c r="AG640" s="571"/>
      <c r="AH640" s="571"/>
      <c r="AI640" s="571"/>
      <c r="AJ640" s="651"/>
      <c r="AK640" s="651"/>
      <c r="AL640" s="651"/>
      <c r="AM640" s="586"/>
      <c r="AN640" s="632"/>
    </row>
    <row r="641" spans="1:42" s="585" customFormat="1" ht="12.75" customHeight="1">
      <c r="A641" s="641"/>
      <c r="B641" s="636"/>
      <c r="C641" s="978"/>
      <c r="D641" s="636"/>
      <c r="E641" s="973"/>
      <c r="F641" s="973"/>
      <c r="G641" s="700"/>
      <c r="H641" s="700"/>
      <c r="I641" s="700"/>
      <c r="J641" s="700"/>
      <c r="K641" s="700"/>
      <c r="L641" s="700"/>
      <c r="M641" s="700"/>
      <c r="N641" s="700"/>
      <c r="O641" s="700"/>
      <c r="P641" s="700"/>
      <c r="Q641" s="700"/>
      <c r="R641" s="700"/>
      <c r="S641" s="700"/>
      <c r="T641" s="700"/>
      <c r="U641" s="700"/>
      <c r="V641" s="700"/>
      <c r="W641" s="700"/>
      <c r="X641" s="700"/>
      <c r="Y641" s="973"/>
      <c r="Z641" s="973"/>
      <c r="AA641" s="973"/>
      <c r="AB641" s="636"/>
      <c r="AC641" s="636"/>
      <c r="AD641" s="636"/>
      <c r="AE641" s="636"/>
      <c r="AF641" s="636"/>
      <c r="AG641" s="636"/>
      <c r="AH641" s="636"/>
      <c r="AI641" s="600" t="s">
        <v>1589</v>
      </c>
      <c r="AJ641" s="1921">
        <f>VLOOKUP(H639,AT594:AU596,2,FALSE)</f>
        <v>2</v>
      </c>
      <c r="AK641" s="1923"/>
      <c r="AL641" s="630"/>
      <c r="AN641" s="632"/>
      <c r="AO641" s="585" t="s">
        <v>601</v>
      </c>
      <c r="AP641" s="708">
        <v>0</v>
      </c>
    </row>
    <row r="642" spans="1:42" s="585" customFormat="1" ht="12.75" customHeight="1">
      <c r="B642" s="571"/>
      <c r="C642" s="965"/>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14" t="s">
        <v>1592</v>
      </c>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c r="AA646" s="1914"/>
      <c r="AB646" s="1914"/>
      <c r="AC646" s="1914"/>
      <c r="AD646" s="571"/>
      <c r="AE646" s="571"/>
      <c r="AF646" s="1994" t="s">
        <v>1552</v>
      </c>
      <c r="AG646" s="1994"/>
      <c r="AH646" s="1994"/>
      <c r="AI646" s="1994"/>
      <c r="AJ646" s="1994"/>
      <c r="AK646" s="1994"/>
      <c r="AL646" s="1994"/>
      <c r="AN646" s="632"/>
    </row>
    <row r="647" spans="1:42" s="585" customFormat="1" ht="12.75" customHeight="1">
      <c r="B647" s="571"/>
      <c r="C647" s="574"/>
      <c r="D647" s="571"/>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c r="AA647" s="1914"/>
      <c r="AB647" s="1914"/>
      <c r="AC647" s="1914"/>
      <c r="AD647" s="571"/>
      <c r="AE647" s="571"/>
      <c r="AF647" s="571"/>
      <c r="AG647" s="571"/>
      <c r="AH647" s="571"/>
      <c r="AI647" s="571"/>
      <c r="AJ647" s="571"/>
      <c r="AK647" s="571"/>
      <c r="AL647" s="571"/>
      <c r="AN647" s="632"/>
    </row>
    <row r="648" spans="1:42" s="585" customFormat="1" ht="12.75" customHeight="1">
      <c r="B648" s="571"/>
      <c r="C648" s="574"/>
      <c r="D648" s="698"/>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c r="AA648" s="1914"/>
      <c r="AB648" s="1914"/>
      <c r="AC648" s="1914"/>
      <c r="AD648" s="571"/>
      <c r="AE648" s="571"/>
      <c r="AF648" s="571"/>
      <c r="AG648" s="571"/>
      <c r="AH648" s="571"/>
      <c r="AI648" s="571"/>
      <c r="AJ648" s="571"/>
      <c r="AK648" s="571"/>
      <c r="AL648" s="571"/>
      <c r="AN648" s="632"/>
    </row>
    <row r="649" spans="1:42" s="585" customFormat="1" ht="15" customHeight="1">
      <c r="B649" s="571"/>
      <c r="C649" s="574"/>
      <c r="D649" s="571"/>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71"/>
      <c r="AD649" s="571"/>
      <c r="AE649" s="571"/>
      <c r="AF649" s="571"/>
      <c r="AG649" s="571"/>
      <c r="AH649" s="571"/>
      <c r="AI649" s="571"/>
      <c r="AJ649" s="571"/>
      <c r="AK649" s="571"/>
      <c r="AL649" s="571"/>
      <c r="AN649" s="632"/>
    </row>
    <row r="650" spans="1:42" s="585" customFormat="1" ht="12.75" customHeight="1">
      <c r="B650" s="571"/>
      <c r="C650" s="574"/>
      <c r="D650" s="698" t="s">
        <v>519</v>
      </c>
      <c r="E650" s="1914" t="s">
        <v>1593</v>
      </c>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c r="AA650" s="1914"/>
      <c r="AB650" s="1914"/>
      <c r="AC650" s="1914"/>
      <c r="AD650" s="571"/>
      <c r="AE650" s="571"/>
      <c r="AF650" s="1994" t="s">
        <v>1573</v>
      </c>
      <c r="AG650" s="1994"/>
      <c r="AH650" s="1994"/>
      <c r="AI650" s="1994"/>
      <c r="AJ650" s="1994"/>
      <c r="AK650" s="1994"/>
      <c r="AL650" s="1994"/>
      <c r="AN650" s="632"/>
    </row>
    <row r="651" spans="1:42" s="585" customFormat="1" ht="12.75" customHeight="1">
      <c r="B651" s="571"/>
      <c r="C651" s="574"/>
      <c r="D651" s="571"/>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c r="AA651" s="1914"/>
      <c r="AB651" s="1914"/>
      <c r="AC651" s="1914"/>
      <c r="AD651" s="571"/>
      <c r="AE651" s="571"/>
      <c r="AF651" s="571"/>
      <c r="AG651" s="571"/>
      <c r="AH651" s="571"/>
      <c r="AI651" s="571"/>
      <c r="AJ651" s="571"/>
      <c r="AK651" s="571"/>
      <c r="AL651" s="571"/>
      <c r="AN651" s="632"/>
    </row>
    <row r="652" spans="1:42" s="585" customFormat="1" ht="15" customHeight="1">
      <c r="B652" s="571"/>
      <c r="C652" s="574"/>
      <c r="D652" s="698"/>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c r="AA652" s="1914"/>
      <c r="AB652" s="1914"/>
      <c r="AC652" s="1914"/>
      <c r="AD652" s="571"/>
      <c r="AE652" s="571"/>
      <c r="AF652" s="571"/>
      <c r="AG652" s="571"/>
      <c r="AH652" s="571"/>
      <c r="AI652" s="571"/>
      <c r="AJ652" s="571"/>
      <c r="AK652" s="571"/>
      <c r="AL652" s="571"/>
      <c r="AN652" s="632"/>
    </row>
    <row r="653" spans="1:42" s="585" customFormat="1" ht="12.75" customHeight="1">
      <c r="B653" s="571"/>
      <c r="C653" s="574"/>
      <c r="D653" s="571"/>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71"/>
      <c r="AD653" s="571"/>
      <c r="AE653" s="571"/>
      <c r="AF653" s="571"/>
      <c r="AG653" s="571"/>
      <c r="AH653" s="571"/>
      <c r="AI653" s="571"/>
      <c r="AJ653" s="571"/>
      <c r="AK653" s="571"/>
      <c r="AL653" s="571"/>
      <c r="AN653" s="632"/>
    </row>
    <row r="654" spans="1:42" s="585" customFormat="1" ht="12.75" customHeight="1">
      <c r="B654" s="571"/>
      <c r="C654" s="574"/>
      <c r="D654" s="698" t="s">
        <v>280</v>
      </c>
      <c r="E654" s="1914" t="s">
        <v>1594</v>
      </c>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c r="AA654" s="1914"/>
      <c r="AB654" s="1914"/>
      <c r="AC654" s="1914"/>
      <c r="AD654" s="571"/>
      <c r="AE654" s="571"/>
      <c r="AF654" s="1994" t="s">
        <v>1526</v>
      </c>
      <c r="AG654" s="1994"/>
      <c r="AH654" s="1994"/>
      <c r="AI654" s="1994"/>
      <c r="AJ654" s="1994"/>
      <c r="AK654" s="1994"/>
      <c r="AL654" s="1994"/>
      <c r="AN654" s="632"/>
    </row>
    <row r="655" spans="1:42" s="585" customFormat="1" ht="12.75" customHeight="1">
      <c r="B655" s="571"/>
      <c r="C655" s="965"/>
      <c r="D655" s="571"/>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c r="AA655" s="1914"/>
      <c r="AB655" s="1914"/>
      <c r="AC655" s="1914"/>
      <c r="AD655" s="571"/>
      <c r="AE655" s="1994"/>
      <c r="AF655" s="1994"/>
      <c r="AG655" s="1994"/>
      <c r="AH655" s="1994"/>
      <c r="AI655" s="1994"/>
      <c r="AJ655" s="1994"/>
      <c r="AK655" s="1994"/>
      <c r="AL655" s="629"/>
      <c r="AN655" s="632"/>
      <c r="AO655" s="585" t="s">
        <v>601</v>
      </c>
      <c r="AP655" s="708">
        <v>0</v>
      </c>
    </row>
    <row r="656" spans="1:42" s="585" customFormat="1" ht="12.75" customHeight="1">
      <c r="A656" s="714"/>
      <c r="B656" s="571"/>
      <c r="C656" s="571"/>
      <c r="D656" s="698"/>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c r="AA656" s="1914"/>
      <c r="AB656" s="1914"/>
      <c r="AC656" s="1914"/>
      <c r="AD656" s="571"/>
      <c r="AE656" s="571"/>
      <c r="AF656" s="571"/>
      <c r="AG656" s="571"/>
      <c r="AH656" s="571"/>
      <c r="AI656" s="571"/>
      <c r="AJ656" s="571"/>
      <c r="AK656" s="571"/>
      <c r="AL656" s="571"/>
      <c r="AN656" s="632"/>
      <c r="AO656" s="646" t="s">
        <v>698</v>
      </c>
      <c r="AP656" s="585">
        <v>3</v>
      </c>
    </row>
    <row r="657" spans="1:42" s="585" customFormat="1" ht="12.75" customHeight="1">
      <c r="B657" s="571"/>
      <c r="C657" s="965"/>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1"/>
      <c r="D658" s="698" t="s">
        <v>1571</v>
      </c>
      <c r="E658" s="1914" t="s">
        <v>1595</v>
      </c>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c r="AA658" s="1914"/>
      <c r="AB658" s="1914"/>
      <c r="AC658" s="1914"/>
      <c r="AD658" s="571"/>
      <c r="AE658" s="571"/>
      <c r="AF658" s="1994" t="s">
        <v>1573</v>
      </c>
      <c r="AG658" s="1994"/>
      <c r="AH658" s="1994"/>
      <c r="AI658" s="1994"/>
      <c r="AJ658" s="1994"/>
      <c r="AK658" s="1994"/>
      <c r="AL658" s="1994"/>
      <c r="AN658" s="632"/>
    </row>
    <row r="659" spans="1:42" s="585" customFormat="1" ht="12.75" customHeight="1">
      <c r="A659" s="705"/>
      <c r="B659" s="571"/>
      <c r="C659" s="981"/>
      <c r="D659" s="698"/>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c r="AA659" s="1914"/>
      <c r="AB659" s="1914"/>
      <c r="AC659" s="1914"/>
      <c r="AD659" s="571"/>
      <c r="AE659" s="629"/>
      <c r="AF659" s="629"/>
      <c r="AG659" s="629"/>
      <c r="AH659" s="629"/>
      <c r="AI659" s="629"/>
      <c r="AJ659" s="629"/>
      <c r="AK659" s="629"/>
      <c r="AL659" s="629"/>
      <c r="AM659" s="631"/>
      <c r="AN659" s="632"/>
    </row>
    <row r="660" spans="1:42" s="585" customFormat="1" ht="12.75" customHeight="1">
      <c r="A660" s="705"/>
      <c r="B660" s="571"/>
      <c r="C660" s="981"/>
      <c r="D660" s="698"/>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c r="AA660" s="1914"/>
      <c r="AB660" s="1914"/>
      <c r="AC660" s="1914"/>
      <c r="AD660" s="571"/>
      <c r="AE660" s="629"/>
      <c r="AF660" s="629"/>
      <c r="AG660" s="629"/>
      <c r="AH660" s="629"/>
      <c r="AI660" s="629"/>
      <c r="AJ660" s="629"/>
      <c r="AK660" s="629"/>
      <c r="AL660" s="629"/>
      <c r="AM660" s="631"/>
      <c r="AN660" s="632"/>
    </row>
    <row r="661" spans="1:42" s="585" customFormat="1" ht="12.75" customHeight="1">
      <c r="B661" s="571"/>
      <c r="C661" s="965"/>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5"/>
      <c r="D662" s="698" t="s">
        <v>1572</v>
      </c>
      <c r="E662" s="1914" t="s">
        <v>1596</v>
      </c>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c r="AA662" s="1914"/>
      <c r="AB662" s="1914"/>
      <c r="AC662" s="1914"/>
      <c r="AD662" s="571"/>
      <c r="AE662" s="571"/>
      <c r="AF662" s="1994" t="s">
        <v>1526</v>
      </c>
      <c r="AG662" s="1994"/>
      <c r="AH662" s="1994"/>
      <c r="AI662" s="1994"/>
      <c r="AJ662" s="1994"/>
      <c r="AK662" s="1994"/>
      <c r="AL662" s="1994"/>
      <c r="AM662" s="631"/>
      <c r="AN662" s="632"/>
    </row>
    <row r="663" spans="1:42" s="585" customFormat="1" ht="12.75" customHeight="1">
      <c r="B663" s="571"/>
      <c r="C663" s="965"/>
      <c r="D663" s="698"/>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c r="AA663" s="1914"/>
      <c r="AB663" s="1914"/>
      <c r="AC663" s="1914"/>
      <c r="AD663" s="571"/>
      <c r="AE663" s="571"/>
      <c r="AF663" s="571"/>
      <c r="AG663" s="571"/>
      <c r="AH663" s="571"/>
      <c r="AI663" s="571"/>
      <c r="AJ663" s="571"/>
      <c r="AK663" s="571"/>
      <c r="AL663" s="571"/>
      <c r="AM663" s="631"/>
      <c r="AN663" s="632"/>
    </row>
    <row r="664" spans="1:42" s="585" customFormat="1" ht="12.75" customHeight="1">
      <c r="B664" s="571"/>
      <c r="C664" s="965"/>
      <c r="D664" s="698"/>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c r="AA664" s="1914"/>
      <c r="AB664" s="1914"/>
      <c r="AC664" s="1914"/>
      <c r="AD664" s="571"/>
      <c r="AE664" s="571"/>
      <c r="AF664" s="571"/>
      <c r="AG664" s="571"/>
      <c r="AH664" s="571"/>
      <c r="AI664" s="571"/>
      <c r="AJ664" s="571"/>
      <c r="AK664" s="571"/>
      <c r="AL664" s="571"/>
      <c r="AM664" s="631"/>
      <c r="AN664" s="632"/>
    </row>
    <row r="665" spans="1:42" s="585" customFormat="1" ht="12.75" customHeight="1">
      <c r="B665" s="571"/>
      <c r="C665" s="965"/>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5"/>
      <c r="D666" s="698" t="s">
        <v>1583</v>
      </c>
      <c r="E666" s="1914" t="s">
        <v>1597</v>
      </c>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c r="AA666" s="1914"/>
      <c r="AB666" s="1914"/>
      <c r="AC666" s="1914"/>
      <c r="AD666" s="571"/>
      <c r="AE666" s="571"/>
      <c r="AF666" s="1994" t="s">
        <v>1582</v>
      </c>
      <c r="AG666" s="1994"/>
      <c r="AH666" s="1994"/>
      <c r="AI666" s="1994"/>
      <c r="AJ666" s="1994"/>
      <c r="AK666" s="1994"/>
      <c r="AL666" s="1994"/>
      <c r="AM666" s="631"/>
      <c r="AN666" s="632"/>
    </row>
    <row r="667" spans="1:42" s="585" customFormat="1" ht="12.75" customHeight="1">
      <c r="A667" s="714"/>
      <c r="B667" s="571"/>
      <c r="C667" s="965"/>
      <c r="D667" s="698"/>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c r="AA667" s="1914"/>
      <c r="AB667" s="1914"/>
      <c r="AC667" s="1914"/>
      <c r="AD667" s="571"/>
      <c r="AE667" s="571"/>
      <c r="AF667" s="629"/>
      <c r="AG667" s="629"/>
      <c r="AH667" s="629"/>
      <c r="AI667" s="629"/>
      <c r="AJ667" s="629"/>
      <c r="AK667" s="629"/>
      <c r="AL667" s="629"/>
      <c r="AM667" s="631"/>
      <c r="AN667" s="632"/>
    </row>
    <row r="668" spans="1:42" s="585" customFormat="1" ht="12.75" customHeight="1">
      <c r="A668" s="714"/>
      <c r="B668" s="571"/>
      <c r="C668" s="965"/>
      <c r="D668" s="698"/>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c r="AA668" s="1914"/>
      <c r="AB668" s="1914"/>
      <c r="AC668" s="1914"/>
      <c r="AD668" s="571"/>
      <c r="AE668" s="629"/>
      <c r="AF668" s="629"/>
      <c r="AG668" s="629"/>
      <c r="AH668" s="629"/>
      <c r="AI668" s="629"/>
      <c r="AJ668" s="629"/>
      <c r="AK668" s="629"/>
      <c r="AL668" s="629"/>
      <c r="AM668" s="631"/>
      <c r="AN668" s="632"/>
    </row>
    <row r="669" spans="1:42" s="585" customFormat="1" ht="12.75" customHeight="1">
      <c r="A669" s="714"/>
      <c r="B669" s="571"/>
      <c r="C669" s="965"/>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5"/>
      <c r="D670" s="698" t="s">
        <v>1585</v>
      </c>
      <c r="E670" s="1914" t="s">
        <v>1598</v>
      </c>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c r="AA670" s="1914"/>
      <c r="AB670" s="1914"/>
      <c r="AC670" s="1914"/>
      <c r="AD670" s="571"/>
      <c r="AE670" s="571"/>
      <c r="AF670" s="1994" t="s">
        <v>1599</v>
      </c>
      <c r="AG670" s="1994"/>
      <c r="AH670" s="1994"/>
      <c r="AI670" s="1994"/>
      <c r="AJ670" s="1994"/>
      <c r="AK670" s="1994"/>
      <c r="AL670" s="1994"/>
      <c r="AM670" s="631"/>
      <c r="AN670" s="632"/>
      <c r="AO670" s="646" t="s">
        <v>698</v>
      </c>
      <c r="AP670" s="585">
        <v>3</v>
      </c>
    </row>
    <row r="671" spans="1:42" s="585" customFormat="1" ht="12.75" customHeight="1">
      <c r="A671" s="714"/>
      <c r="B671" s="571"/>
      <c r="C671" s="965"/>
      <c r="D671" s="698"/>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c r="AA671" s="1914"/>
      <c r="AB671" s="1914"/>
      <c r="AC671" s="1914"/>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5"/>
      <c r="D672" s="698"/>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c r="AA672" s="1914"/>
      <c r="AB672" s="1914"/>
      <c r="AC672" s="1914"/>
      <c r="AD672" s="571"/>
      <c r="AE672" s="629"/>
      <c r="AF672" s="629"/>
      <c r="AG672" s="629"/>
      <c r="AH672" s="629"/>
      <c r="AI672" s="629"/>
      <c r="AJ672" s="629"/>
      <c r="AK672" s="629"/>
      <c r="AL672" s="629"/>
      <c r="AM672" s="631"/>
      <c r="AN672" s="632"/>
    </row>
    <row r="673" spans="1:42" s="585" customFormat="1" ht="12.75" customHeight="1">
      <c r="A673" s="705"/>
      <c r="B673" s="571"/>
      <c r="C673" s="981"/>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5"/>
      <c r="D674" s="571" t="s">
        <v>1574</v>
      </c>
      <c r="E674" s="970"/>
      <c r="F674" s="970"/>
      <c r="G674" s="970"/>
      <c r="H674" s="1938" t="s">
        <v>280</v>
      </c>
      <c r="I674" s="193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5"/>
      <c r="D675" s="571"/>
      <c r="E675" s="970"/>
      <c r="F675" s="970"/>
      <c r="G675" s="651"/>
      <c r="H675" s="651"/>
      <c r="I675" s="651"/>
      <c r="J675" s="651"/>
      <c r="K675" s="651"/>
      <c r="L675" s="651"/>
      <c r="M675" s="651"/>
      <c r="N675" s="651"/>
      <c r="O675" s="651"/>
      <c r="P675" s="651"/>
      <c r="Q675" s="651"/>
      <c r="R675" s="651"/>
      <c r="S675" s="651"/>
      <c r="T675" s="651"/>
      <c r="U675" s="651"/>
      <c r="V675" s="651"/>
      <c r="W675" s="651"/>
      <c r="X675" s="651"/>
      <c r="Y675" s="651"/>
      <c r="Z675" s="970"/>
      <c r="AA675" s="970"/>
      <c r="AB675" s="970"/>
      <c r="AC675" s="571"/>
      <c r="AD675" s="571"/>
      <c r="AE675" s="571"/>
      <c r="AF675" s="571"/>
      <c r="AG675" s="651"/>
      <c r="AH675" s="651"/>
      <c r="AI675" s="651"/>
      <c r="AJ675" s="651"/>
      <c r="AK675" s="651"/>
      <c r="AL675" s="651"/>
      <c r="AM675" s="586"/>
      <c r="AN675" s="632"/>
    </row>
    <row r="676" spans="1:42" s="585" customFormat="1" ht="12.75" customHeight="1">
      <c r="A676" s="718"/>
      <c r="B676" s="636"/>
      <c r="C676" s="978"/>
      <c r="D676" s="636"/>
      <c r="E676" s="973"/>
      <c r="F676" s="700"/>
      <c r="G676" s="700"/>
      <c r="H676" s="700"/>
      <c r="I676" s="700"/>
      <c r="J676" s="700"/>
      <c r="K676" s="700"/>
      <c r="L676" s="700"/>
      <c r="M676" s="700"/>
      <c r="N676" s="700"/>
      <c r="O676" s="700"/>
      <c r="P676" s="700"/>
      <c r="Q676" s="700"/>
      <c r="R676" s="700"/>
      <c r="S676" s="700"/>
      <c r="T676" s="700"/>
      <c r="U676" s="700"/>
      <c r="V676" s="700"/>
      <c r="W676" s="700"/>
      <c r="X676" s="700"/>
      <c r="Y676" s="973"/>
      <c r="Z676" s="973"/>
      <c r="AA676" s="973"/>
      <c r="AB676" s="636"/>
      <c r="AC676" s="636"/>
      <c r="AD676" s="636"/>
      <c r="AE676" s="636"/>
      <c r="AF676" s="636"/>
      <c r="AG676" s="636"/>
      <c r="AH676" s="636"/>
      <c r="AI676" s="600" t="s">
        <v>1600</v>
      </c>
      <c r="AJ676" s="1921">
        <f>VLOOKUP($H$674,$AO$622:$AP$629,2,FALSE)</f>
        <v>3</v>
      </c>
      <c r="AK676" s="1923"/>
      <c r="AL676" s="630"/>
      <c r="AN676" s="632"/>
    </row>
    <row r="677" spans="1:42" s="585" customFormat="1" ht="12.75" customHeight="1">
      <c r="A677" s="714"/>
      <c r="B677" s="571"/>
      <c r="C677" s="965"/>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2556</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2"/>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5"/>
      <c r="D680" s="698" t="s">
        <v>698</v>
      </c>
      <c r="E680" s="1914" t="s">
        <v>2554</v>
      </c>
      <c r="F680" s="1914"/>
      <c r="G680" s="1914"/>
      <c r="H680" s="1914"/>
      <c r="I680" s="1914"/>
      <c r="J680" s="1914"/>
      <c r="K680" s="1914"/>
      <c r="L680" s="1914"/>
      <c r="M680" s="1914"/>
      <c r="N680" s="1914"/>
      <c r="O680" s="1914"/>
      <c r="P680" s="1914"/>
      <c r="Q680" s="1914"/>
      <c r="R680" s="1914"/>
      <c r="S680" s="1914"/>
      <c r="T680" s="1914"/>
      <c r="U680" s="1914"/>
      <c r="V680" s="1914"/>
      <c r="W680" s="1914"/>
      <c r="X680" s="1914"/>
      <c r="Y680" s="1914"/>
      <c r="Z680" s="1914"/>
      <c r="AA680" s="1914"/>
      <c r="AB680" s="1914"/>
      <c r="AC680" s="571"/>
      <c r="AD680" s="571"/>
      <c r="AE680" s="571"/>
      <c r="AF680" s="1994" t="s">
        <v>1526</v>
      </c>
      <c r="AG680" s="1994"/>
      <c r="AH680" s="1994"/>
      <c r="AI680" s="1994"/>
      <c r="AJ680" s="1994"/>
      <c r="AK680" s="1994"/>
      <c r="AL680" s="1994"/>
      <c r="AN680" s="632"/>
    </row>
    <row r="681" spans="1:42" s="585" customFormat="1" ht="12.75" customHeight="1">
      <c r="B681" s="571"/>
      <c r="C681" s="974"/>
      <c r="D681" s="698"/>
      <c r="E681" s="1914"/>
      <c r="F681" s="1914"/>
      <c r="G681" s="1914"/>
      <c r="H681" s="1914"/>
      <c r="I681" s="1914"/>
      <c r="J681" s="1914"/>
      <c r="K681" s="1914"/>
      <c r="L681" s="1914"/>
      <c r="M681" s="1914"/>
      <c r="N681" s="1914"/>
      <c r="O681" s="1914"/>
      <c r="P681" s="1914"/>
      <c r="Q681" s="1914"/>
      <c r="R681" s="1914"/>
      <c r="S681" s="1914"/>
      <c r="T681" s="1914"/>
      <c r="U681" s="1914"/>
      <c r="V681" s="1914"/>
      <c r="W681" s="1914"/>
      <c r="X681" s="1914"/>
      <c r="Y681" s="1914"/>
      <c r="Z681" s="1914"/>
      <c r="AA681" s="1914"/>
      <c r="AB681" s="1914"/>
      <c r="AC681" s="571"/>
      <c r="AD681" s="571"/>
      <c r="AE681" s="651"/>
      <c r="AF681" s="571"/>
      <c r="AG681" s="571"/>
      <c r="AH681" s="571"/>
      <c r="AI681" s="571"/>
      <c r="AJ681" s="571"/>
      <c r="AK681" s="571"/>
      <c r="AL681" s="571"/>
      <c r="AN681" s="632"/>
      <c r="AO681" s="1929"/>
      <c r="AP681" s="1929"/>
    </row>
    <row r="682" spans="1:42" s="585" customFormat="1" ht="12.75" customHeight="1">
      <c r="B682" s="571"/>
      <c r="C682" s="974"/>
      <c r="D682" s="698"/>
      <c r="E682" s="1914"/>
      <c r="F682" s="1914"/>
      <c r="G682" s="1914"/>
      <c r="H682" s="1914"/>
      <c r="I682" s="1914"/>
      <c r="J682" s="1914"/>
      <c r="K682" s="1914"/>
      <c r="L682" s="1914"/>
      <c r="M682" s="1914"/>
      <c r="N682" s="1914"/>
      <c r="O682" s="1914"/>
      <c r="P682" s="1914"/>
      <c r="Q682" s="1914"/>
      <c r="R682" s="1914"/>
      <c r="S682" s="1914"/>
      <c r="T682" s="1914"/>
      <c r="U682" s="1914"/>
      <c r="V682" s="1914"/>
      <c r="W682" s="1914"/>
      <c r="X682" s="1914"/>
      <c r="Y682" s="1914"/>
      <c r="Z682" s="1914"/>
      <c r="AA682" s="1914"/>
      <c r="AB682" s="1914"/>
      <c r="AC682" s="571"/>
      <c r="AD682" s="571"/>
      <c r="AE682" s="651"/>
      <c r="AF682" s="651"/>
      <c r="AG682" s="651"/>
      <c r="AH682" s="651"/>
      <c r="AI682" s="651"/>
      <c r="AJ682" s="651"/>
      <c r="AK682" s="651"/>
      <c r="AL682" s="651"/>
      <c r="AN682" s="632"/>
    </row>
    <row r="683" spans="1:42" s="585" customFormat="1" ht="28.5" customHeight="1">
      <c r="B683" s="571"/>
      <c r="C683" s="974"/>
      <c r="D683" s="698"/>
      <c r="E683" s="1914"/>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c r="AA683" s="1914"/>
      <c r="AB683" s="1914"/>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4"/>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5"/>
      <c r="D685" s="698" t="s">
        <v>519</v>
      </c>
      <c r="E685" s="1914" t="s">
        <v>2555</v>
      </c>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c r="AA685" s="1914"/>
      <c r="AB685" s="1914"/>
      <c r="AC685" s="571"/>
      <c r="AD685" s="571"/>
      <c r="AE685" s="571"/>
      <c r="AF685" s="1994" t="s">
        <v>1582</v>
      </c>
      <c r="AG685" s="1994"/>
      <c r="AH685" s="1994"/>
      <c r="AI685" s="1994"/>
      <c r="AJ685" s="1994"/>
      <c r="AK685" s="1994"/>
      <c r="AL685" s="1994"/>
      <c r="AN685" s="632"/>
      <c r="AO685" s="646" t="s">
        <v>519</v>
      </c>
      <c r="AP685" s="585">
        <v>1</v>
      </c>
    </row>
    <row r="686" spans="1:42" s="585" customFormat="1" ht="12" customHeight="1">
      <c r="B686" s="571"/>
      <c r="C686" s="965"/>
      <c r="D686" s="571"/>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c r="AA686" s="1914"/>
      <c r="AB686" s="1914"/>
      <c r="AC686" s="571"/>
      <c r="AD686" s="571"/>
      <c r="AE686" s="651"/>
      <c r="AF686" s="571"/>
      <c r="AG686" s="571"/>
      <c r="AH686" s="571"/>
      <c r="AI686" s="571"/>
      <c r="AJ686" s="571"/>
      <c r="AK686" s="571"/>
      <c r="AL686" s="571"/>
      <c r="AN686" s="632"/>
    </row>
    <row r="687" spans="1:42" s="585" customFormat="1" ht="12" customHeight="1">
      <c r="B687" s="571"/>
      <c r="C687" s="965"/>
      <c r="D687" s="571"/>
      <c r="E687" s="1914"/>
      <c r="F687" s="1914"/>
      <c r="G687" s="1914"/>
      <c r="H687" s="1914"/>
      <c r="I687" s="1914"/>
      <c r="J687" s="1914"/>
      <c r="K687" s="1914"/>
      <c r="L687" s="1914"/>
      <c r="M687" s="1914"/>
      <c r="N687" s="1914"/>
      <c r="O687" s="1914"/>
      <c r="P687" s="1914"/>
      <c r="Q687" s="1914"/>
      <c r="R687" s="1914"/>
      <c r="S687" s="1914"/>
      <c r="T687" s="1914"/>
      <c r="U687" s="1914"/>
      <c r="V687" s="1914"/>
      <c r="W687" s="1914"/>
      <c r="X687" s="1914"/>
      <c r="Y687" s="1914"/>
      <c r="Z687" s="1914"/>
      <c r="AA687" s="1914"/>
      <c r="AB687" s="1914"/>
      <c r="AC687" s="571"/>
      <c r="AD687" s="571"/>
      <c r="AE687" s="651"/>
      <c r="AF687" s="571"/>
      <c r="AG687" s="571"/>
      <c r="AH687" s="571"/>
      <c r="AI687" s="571"/>
      <c r="AJ687" s="571"/>
      <c r="AK687" s="571"/>
      <c r="AL687" s="571"/>
      <c r="AN687" s="632"/>
    </row>
    <row r="688" spans="1:42" s="605" customFormat="1" ht="29.25" customHeight="1">
      <c r="A688" s="585"/>
      <c r="B688" s="571"/>
      <c r="C688" s="965"/>
      <c r="D688" s="571"/>
      <c r="E688" s="1914"/>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c r="AA688" s="1914"/>
      <c r="AB688" s="1914"/>
      <c r="AC688" s="571"/>
      <c r="AD688" s="571"/>
      <c r="AE688" s="651"/>
      <c r="AF688" s="651"/>
      <c r="AG688" s="651"/>
      <c r="AH688" s="651"/>
      <c r="AI688" s="651"/>
      <c r="AJ688" s="571"/>
      <c r="AK688" s="571"/>
      <c r="AL688" s="571"/>
      <c r="AM688" s="585"/>
      <c r="AN688" s="719"/>
    </row>
    <row r="689" spans="1:42" s="605" customFormat="1" ht="12" customHeight="1">
      <c r="A689" s="585"/>
      <c r="B689" s="571"/>
      <c r="C689" s="965"/>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5"/>
      <c r="D690" s="571"/>
      <c r="E690" s="1914" t="s">
        <v>1955</v>
      </c>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c r="AA690" s="1914"/>
      <c r="AB690" s="1914"/>
      <c r="AC690" s="571"/>
      <c r="AD690" s="571"/>
      <c r="AE690" s="651"/>
      <c r="AF690" s="651"/>
      <c r="AG690" s="651"/>
      <c r="AH690" s="651"/>
      <c r="AI690" s="651"/>
      <c r="AJ690" s="571"/>
      <c r="AK690" s="571"/>
      <c r="AL690" s="571"/>
      <c r="AM690" s="585"/>
      <c r="AN690" s="719"/>
    </row>
    <row r="691" spans="1:42" s="605" customFormat="1" ht="12.75" customHeight="1">
      <c r="A691" s="585"/>
      <c r="B691" s="571"/>
      <c r="C691" s="965"/>
      <c r="D691" s="571"/>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c r="AA691" s="1914"/>
      <c r="AB691" s="1914"/>
      <c r="AC691" s="571"/>
      <c r="AD691" s="571"/>
      <c r="AE691" s="651"/>
      <c r="AF691" s="651"/>
      <c r="AG691" s="651"/>
      <c r="AH691" s="651"/>
      <c r="AI691" s="651"/>
      <c r="AJ691" s="571"/>
      <c r="AK691" s="571"/>
      <c r="AL691" s="571"/>
      <c r="AM691" s="585"/>
      <c r="AN691" s="719"/>
    </row>
    <row r="692" spans="1:42" s="605" customFormat="1" ht="12.75" customHeight="1">
      <c r="A692" s="585"/>
      <c r="B692" s="571"/>
      <c r="C692" s="965"/>
      <c r="D692" s="571"/>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c r="AA692" s="1914"/>
      <c r="AB692" s="1914"/>
      <c r="AC692" s="571"/>
      <c r="AD692" s="571"/>
      <c r="AE692" s="651"/>
      <c r="AF692" s="651"/>
      <c r="AG692" s="651"/>
      <c r="AH692" s="651"/>
      <c r="AI692" s="651"/>
      <c r="AJ692" s="571"/>
      <c r="AK692" s="571"/>
      <c r="AL692" s="571"/>
      <c r="AM692" s="585"/>
      <c r="AN692" s="719"/>
    </row>
    <row r="693" spans="1:42" s="605" customFormat="1" ht="12.75" customHeight="1">
      <c r="A693" s="585"/>
      <c r="B693" s="571"/>
      <c r="C693" s="965"/>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5"/>
      <c r="D694" s="571" t="s">
        <v>1574</v>
      </c>
      <c r="E694" s="970"/>
      <c r="F694" s="970"/>
      <c r="G694" s="970"/>
      <c r="H694" s="1938" t="s">
        <v>698</v>
      </c>
      <c r="I694" s="193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5"/>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78"/>
      <c r="D696" s="636"/>
      <c r="E696" s="636"/>
      <c r="F696" s="636"/>
      <c r="G696" s="636"/>
      <c r="H696" s="636"/>
      <c r="I696" s="636"/>
      <c r="J696" s="983"/>
      <c r="K696" s="983"/>
      <c r="L696" s="700"/>
      <c r="M696" s="700"/>
      <c r="N696" s="700"/>
      <c r="O696" s="700"/>
      <c r="P696" s="700"/>
      <c r="Q696" s="700"/>
      <c r="R696" s="700"/>
      <c r="S696" s="700"/>
      <c r="T696" s="700"/>
      <c r="U696" s="700"/>
      <c r="V696" s="700"/>
      <c r="W696" s="700"/>
      <c r="X696" s="700"/>
      <c r="Y696" s="973"/>
      <c r="Z696" s="973"/>
      <c r="AA696" s="973"/>
      <c r="AB696" s="636"/>
      <c r="AC696" s="636"/>
      <c r="AD696" s="636"/>
      <c r="AE696" s="636"/>
      <c r="AF696" s="636"/>
      <c r="AG696" s="636"/>
      <c r="AH696" s="636"/>
      <c r="AI696" s="600" t="s">
        <v>2557</v>
      </c>
      <c r="AJ696" s="1921">
        <f>VLOOKUP($H$694,$AO$641:$AP$643,2,FALSE)</f>
        <v>3</v>
      </c>
      <c r="AK696" s="1923"/>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5"/>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5"/>
      <c r="D700" s="698" t="s">
        <v>698</v>
      </c>
      <c r="E700" s="2027" t="s">
        <v>1957</v>
      </c>
      <c r="F700" s="2027"/>
      <c r="G700" s="2027"/>
      <c r="H700" s="2027"/>
      <c r="I700" s="2027"/>
      <c r="J700" s="2027"/>
      <c r="K700" s="2027"/>
      <c r="L700" s="2027"/>
      <c r="M700" s="2027"/>
      <c r="N700" s="2027"/>
      <c r="O700" s="2027"/>
      <c r="P700" s="2027"/>
      <c r="Q700" s="2027"/>
      <c r="R700" s="2027"/>
      <c r="S700" s="2027"/>
      <c r="T700" s="2027"/>
      <c r="U700" s="2027"/>
      <c r="V700" s="2027"/>
      <c r="W700" s="2027"/>
      <c r="X700" s="2027"/>
      <c r="Y700" s="2027"/>
      <c r="Z700" s="2027"/>
      <c r="AA700" s="2027"/>
      <c r="AB700" s="2027"/>
      <c r="AC700" s="571"/>
      <c r="AD700" s="571"/>
      <c r="AE700" s="571"/>
      <c r="AF700" s="1994" t="s">
        <v>1526</v>
      </c>
      <c r="AG700" s="1994"/>
      <c r="AH700" s="1994"/>
      <c r="AI700" s="1994"/>
      <c r="AJ700" s="1994"/>
      <c r="AK700" s="1994"/>
      <c r="AL700" s="1994"/>
      <c r="AM700" s="585"/>
      <c r="AN700" s="719"/>
      <c r="AP700" s="605" t="s">
        <v>1606</v>
      </c>
    </row>
    <row r="701" spans="1:42" s="605" customFormat="1" ht="11.85" customHeight="1">
      <c r="A701" s="585"/>
      <c r="B701" s="571"/>
      <c r="C701" s="967"/>
      <c r="D701" s="698"/>
      <c r="E701" s="2027"/>
      <c r="F701" s="2027"/>
      <c r="G701" s="2027"/>
      <c r="H701" s="2027"/>
      <c r="I701" s="2027"/>
      <c r="J701" s="2027"/>
      <c r="K701" s="2027"/>
      <c r="L701" s="2027"/>
      <c r="M701" s="2027"/>
      <c r="N701" s="2027"/>
      <c r="O701" s="2027"/>
      <c r="P701" s="2027"/>
      <c r="Q701" s="2027"/>
      <c r="R701" s="2027"/>
      <c r="S701" s="2027"/>
      <c r="T701" s="2027"/>
      <c r="U701" s="2027"/>
      <c r="V701" s="2027"/>
      <c r="W701" s="2027"/>
      <c r="X701" s="2027"/>
      <c r="Y701" s="2027"/>
      <c r="Z701" s="2027"/>
      <c r="AA701" s="2027"/>
      <c r="AB701" s="2027"/>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5"/>
      <c r="D702" s="698"/>
      <c r="E702" s="2027"/>
      <c r="F702" s="2027"/>
      <c r="G702" s="2027"/>
      <c r="H702" s="2027"/>
      <c r="I702" s="2027"/>
      <c r="J702" s="2027"/>
      <c r="K702" s="2027"/>
      <c r="L702" s="2027"/>
      <c r="M702" s="2027"/>
      <c r="N702" s="2027"/>
      <c r="O702" s="2027"/>
      <c r="P702" s="2027"/>
      <c r="Q702" s="2027"/>
      <c r="R702" s="2027"/>
      <c r="S702" s="2027"/>
      <c r="T702" s="2027"/>
      <c r="U702" s="2027"/>
      <c r="V702" s="2027"/>
      <c r="W702" s="2027"/>
      <c r="X702" s="2027"/>
      <c r="Y702" s="2027"/>
      <c r="Z702" s="2027"/>
      <c r="AA702" s="2027"/>
      <c r="AB702" s="2027"/>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5"/>
      <c r="D703" s="698"/>
      <c r="E703" s="970"/>
      <c r="F703" s="970"/>
      <c r="G703" s="970"/>
      <c r="H703" s="970"/>
      <c r="I703" s="970"/>
      <c r="J703" s="970"/>
      <c r="K703" s="970"/>
      <c r="L703" s="970"/>
      <c r="M703" s="970"/>
      <c r="N703" s="970"/>
      <c r="O703" s="970"/>
      <c r="P703" s="970"/>
      <c r="Q703" s="970"/>
      <c r="R703" s="970"/>
      <c r="S703" s="970"/>
      <c r="T703" s="970"/>
      <c r="U703" s="970"/>
      <c r="V703" s="970"/>
      <c r="W703" s="970"/>
      <c r="X703" s="970"/>
      <c r="Y703" s="970"/>
      <c r="Z703" s="970"/>
      <c r="AA703" s="970"/>
      <c r="AB703" s="970"/>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5"/>
      <c r="D704" s="698" t="s">
        <v>519</v>
      </c>
      <c r="E704" s="2028" t="s">
        <v>1609</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1"/>
      <c r="AD704" s="571"/>
      <c r="AE704" s="571"/>
      <c r="AF704" s="1994" t="s">
        <v>1582</v>
      </c>
      <c r="AG704" s="1994"/>
      <c r="AH704" s="1994"/>
      <c r="AI704" s="1994"/>
      <c r="AJ704" s="1994"/>
      <c r="AK704" s="1994"/>
      <c r="AL704" s="1994"/>
      <c r="AM704" s="585"/>
      <c r="AN704" s="720"/>
    </row>
    <row r="705" spans="1:52" s="605" customFormat="1" ht="12.75" customHeight="1">
      <c r="A705" s="585"/>
      <c r="B705" s="571"/>
      <c r="C705" s="967"/>
      <c r="D705" s="571"/>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67"/>
      <c r="D706" s="571"/>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67"/>
      <c r="D707" s="571"/>
      <c r="E707" s="984"/>
      <c r="F707" s="984"/>
      <c r="G707" s="984"/>
      <c r="H707" s="984"/>
      <c r="I707" s="984"/>
      <c r="J707" s="984"/>
      <c r="K707" s="984"/>
      <c r="L707" s="984"/>
      <c r="M707" s="984"/>
      <c r="N707" s="984"/>
      <c r="O707" s="984"/>
      <c r="P707" s="984"/>
      <c r="Q707" s="984"/>
      <c r="R707" s="984"/>
      <c r="S707" s="984"/>
      <c r="T707" s="984"/>
      <c r="U707" s="984"/>
      <c r="V707" s="984"/>
      <c r="W707" s="984"/>
      <c r="X707" s="984"/>
      <c r="Y707" s="984"/>
      <c r="Z707" s="984"/>
      <c r="AA707" s="984"/>
      <c r="AB707" s="984"/>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67"/>
      <c r="D708" s="571" t="s">
        <v>1574</v>
      </c>
      <c r="E708" s="970"/>
      <c r="F708" s="970"/>
      <c r="G708" s="970"/>
      <c r="H708" s="1938" t="s">
        <v>601</v>
      </c>
      <c r="I708" s="1938"/>
      <c r="J708" s="984"/>
      <c r="K708" s="984"/>
      <c r="L708" s="984"/>
      <c r="M708" s="984"/>
      <c r="N708" s="984"/>
      <c r="O708" s="984"/>
      <c r="P708" s="984"/>
      <c r="Q708" s="984"/>
      <c r="R708" s="984"/>
      <c r="S708" s="984"/>
      <c r="T708" s="984"/>
      <c r="U708" s="984"/>
      <c r="V708" s="984"/>
      <c r="W708" s="984"/>
      <c r="X708" s="984"/>
      <c r="Y708" s="984"/>
      <c r="Z708" s="984"/>
      <c r="AA708" s="984"/>
      <c r="AB708" s="984"/>
      <c r="AC708" s="571"/>
      <c r="AD708" s="571"/>
      <c r="AE708" s="571"/>
      <c r="AF708" s="571"/>
      <c r="AG708" s="571"/>
      <c r="AH708" s="571"/>
      <c r="AI708" s="571"/>
      <c r="AJ708" s="571"/>
      <c r="AK708" s="571"/>
      <c r="AL708" s="571"/>
      <c r="AM708" s="585"/>
      <c r="AN708" s="719"/>
    </row>
    <row r="709" spans="1:52" s="605" customFormat="1" ht="14.25" customHeight="1">
      <c r="A709" s="585"/>
      <c r="B709" s="571"/>
      <c r="C709" s="967"/>
      <c r="D709" s="571"/>
      <c r="E709" s="984"/>
      <c r="F709" s="984"/>
      <c r="G709" s="984"/>
      <c r="H709" s="984"/>
      <c r="I709" s="984"/>
      <c r="J709" s="984"/>
      <c r="K709" s="984"/>
      <c r="L709" s="984"/>
      <c r="M709" s="984"/>
      <c r="N709" s="984"/>
      <c r="O709" s="984"/>
      <c r="P709" s="984"/>
      <c r="Q709" s="984"/>
      <c r="R709" s="984"/>
      <c r="S709" s="984"/>
      <c r="T709" s="984"/>
      <c r="U709" s="984"/>
      <c r="V709" s="984"/>
      <c r="W709" s="984"/>
      <c r="X709" s="984"/>
      <c r="Y709" s="984"/>
      <c r="Z709" s="984"/>
      <c r="AA709" s="984"/>
      <c r="AB709" s="984"/>
      <c r="AC709" s="571"/>
      <c r="AD709" s="571"/>
      <c r="AE709" s="571"/>
      <c r="AF709" s="571"/>
      <c r="AG709" s="571"/>
      <c r="AH709" s="571"/>
      <c r="AI709" s="571"/>
      <c r="AJ709" s="571"/>
      <c r="AK709" s="571"/>
      <c r="AL709" s="571"/>
      <c r="AM709" s="585"/>
      <c r="AN709" s="719"/>
    </row>
    <row r="710" spans="1:52" s="605" customFormat="1" ht="12.75" customHeight="1">
      <c r="A710" s="641"/>
      <c r="B710" s="636"/>
      <c r="C710" s="972"/>
      <c r="D710" s="636"/>
      <c r="E710" s="636"/>
      <c r="F710" s="636"/>
      <c r="G710" s="636"/>
      <c r="H710" s="636"/>
      <c r="I710" s="636"/>
      <c r="J710" s="985"/>
      <c r="K710" s="985"/>
      <c r="L710" s="985"/>
      <c r="M710" s="985"/>
      <c r="N710" s="985"/>
      <c r="O710" s="985"/>
      <c r="P710" s="985"/>
      <c r="Q710" s="985"/>
      <c r="R710" s="985"/>
      <c r="S710" s="985"/>
      <c r="T710" s="985"/>
      <c r="U710" s="700"/>
      <c r="V710" s="700"/>
      <c r="W710" s="700"/>
      <c r="X710" s="700"/>
      <c r="Y710" s="973"/>
      <c r="Z710" s="973"/>
      <c r="AA710" s="973"/>
      <c r="AB710" s="636"/>
      <c r="AC710" s="636"/>
      <c r="AD710" s="636"/>
      <c r="AE710" s="636"/>
      <c r="AF710" s="636"/>
      <c r="AG710" s="636"/>
      <c r="AH710" s="636"/>
      <c r="AI710" s="600" t="s">
        <v>1611</v>
      </c>
      <c r="AJ710" s="1921">
        <f>VLOOKUP($H$708,$AO$641:$AP$643,2,FALSE)</f>
        <v>0</v>
      </c>
      <c r="AK710" s="1923"/>
      <c r="AL710" s="630"/>
      <c r="AM710" s="585"/>
      <c r="AN710" s="719"/>
      <c r="AP710" s="1921"/>
      <c r="AQ710" s="1923"/>
    </row>
    <row r="711" spans="1:52" s="605" customFormat="1">
      <c r="A711" s="585"/>
      <c r="B711" s="645"/>
      <c r="C711" s="965"/>
      <c r="D711" s="969"/>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6"/>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5"/>
      <c r="D713" s="969"/>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5"/>
      <c r="D714" s="698" t="s">
        <v>698</v>
      </c>
      <c r="E714" s="1914" t="s">
        <v>1958</v>
      </c>
      <c r="F714" s="1914"/>
      <c r="G714" s="1914"/>
      <c r="H714" s="1914"/>
      <c r="I714" s="1914"/>
      <c r="J714" s="1914"/>
      <c r="K714" s="1914"/>
      <c r="L714" s="1914"/>
      <c r="M714" s="1914"/>
      <c r="N714" s="1914"/>
      <c r="O714" s="1914"/>
      <c r="P714" s="1914"/>
      <c r="Q714" s="1914"/>
      <c r="R714" s="1914"/>
      <c r="S714" s="1914"/>
      <c r="T714" s="1914"/>
      <c r="U714" s="1914"/>
      <c r="V714" s="1914"/>
      <c r="W714" s="1914"/>
      <c r="X714" s="1914"/>
      <c r="Y714" s="1914"/>
      <c r="Z714" s="1914"/>
      <c r="AA714" s="1914"/>
      <c r="AB714" s="1914"/>
      <c r="AC714" s="571"/>
      <c r="AD714" s="571"/>
      <c r="AE714" s="571"/>
      <c r="AF714" s="1994" t="s">
        <v>1526</v>
      </c>
      <c r="AG714" s="1994"/>
      <c r="AH714" s="1994"/>
      <c r="AI714" s="1994"/>
      <c r="AJ714" s="1994"/>
      <c r="AK714" s="1994"/>
      <c r="AL714" s="1994"/>
      <c r="AM714" s="585"/>
      <c r="AN714" s="719"/>
      <c r="AT714" s="14"/>
      <c r="AU714" s="14"/>
      <c r="AV714" s="14"/>
      <c r="AW714" s="14"/>
      <c r="AX714" s="14"/>
      <c r="AY714" s="14"/>
      <c r="AZ714" s="14"/>
    </row>
    <row r="715" spans="1:52" s="605" customFormat="1">
      <c r="A715" s="585"/>
      <c r="B715" s="571"/>
      <c r="C715" s="967"/>
      <c r="D715" s="698"/>
      <c r="E715" s="1914"/>
      <c r="F715" s="1914"/>
      <c r="G715" s="1914"/>
      <c r="H715" s="1914"/>
      <c r="I715" s="1914"/>
      <c r="J715" s="1914"/>
      <c r="K715" s="1914"/>
      <c r="L715" s="1914"/>
      <c r="M715" s="1914"/>
      <c r="N715" s="1914"/>
      <c r="O715" s="1914"/>
      <c r="P715" s="1914"/>
      <c r="Q715" s="1914"/>
      <c r="R715" s="1914"/>
      <c r="S715" s="1914"/>
      <c r="T715" s="1914"/>
      <c r="U715" s="1914"/>
      <c r="V715" s="1914"/>
      <c r="W715" s="1914"/>
      <c r="X715" s="1914"/>
      <c r="Y715" s="1914"/>
      <c r="Z715" s="1914"/>
      <c r="AA715" s="1914"/>
      <c r="AB715" s="191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5"/>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5"/>
      <c r="D717" s="698" t="s">
        <v>519</v>
      </c>
      <c r="E717" s="1914" t="s">
        <v>1613</v>
      </c>
      <c r="F717" s="1914"/>
      <c r="G717" s="1914"/>
      <c r="H717" s="1914"/>
      <c r="I717" s="1914"/>
      <c r="J717" s="1914"/>
      <c r="K717" s="1914"/>
      <c r="L717" s="1914"/>
      <c r="M717" s="1914"/>
      <c r="N717" s="1914"/>
      <c r="O717" s="1914"/>
      <c r="P717" s="1914"/>
      <c r="Q717" s="1914"/>
      <c r="R717" s="1914"/>
      <c r="S717" s="1914"/>
      <c r="T717" s="1914"/>
      <c r="U717" s="1914"/>
      <c r="V717" s="1914"/>
      <c r="W717" s="1914"/>
      <c r="X717" s="1914"/>
      <c r="Y717" s="1914"/>
      <c r="Z717" s="1914"/>
      <c r="AA717" s="1914"/>
      <c r="AB717" s="1914"/>
      <c r="AC717" s="571"/>
      <c r="AD717" s="571"/>
      <c r="AE717" s="571"/>
      <c r="AF717" s="1994" t="s">
        <v>1582</v>
      </c>
      <c r="AG717" s="1994"/>
      <c r="AH717" s="1994"/>
      <c r="AI717" s="1994"/>
      <c r="AJ717" s="1994"/>
      <c r="AK717" s="1994"/>
      <c r="AL717" s="1994"/>
      <c r="AM717" s="585"/>
      <c r="AN717" s="719"/>
      <c r="AT717" s="14"/>
      <c r="AU717" s="14"/>
      <c r="AV717" s="14"/>
      <c r="AW717" s="14"/>
      <c r="AX717" s="14"/>
      <c r="AY717" s="14"/>
      <c r="AZ717" s="14"/>
    </row>
    <row r="718" spans="1:52" s="605" customFormat="1">
      <c r="A718" s="585"/>
      <c r="B718" s="571"/>
      <c r="C718" s="967"/>
      <c r="D718" s="571"/>
      <c r="E718" s="1914"/>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c r="AA718" s="1914"/>
      <c r="AB718" s="191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67"/>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67"/>
      <c r="D720" s="571" t="s">
        <v>1574</v>
      </c>
      <c r="E720" s="970"/>
      <c r="F720" s="970"/>
      <c r="G720" s="970"/>
      <c r="H720" s="1938" t="s">
        <v>601</v>
      </c>
      <c r="I720" s="193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67"/>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2"/>
      <c r="D722" s="636"/>
      <c r="E722" s="983"/>
      <c r="F722" s="983"/>
      <c r="G722" s="983"/>
      <c r="H722" s="983"/>
      <c r="I722" s="983"/>
      <c r="J722" s="983"/>
      <c r="K722" s="983"/>
      <c r="L722" s="983"/>
      <c r="M722" s="983"/>
      <c r="N722" s="983"/>
      <c r="O722" s="983"/>
      <c r="P722" s="983"/>
      <c r="Q722" s="983"/>
      <c r="R722" s="983"/>
      <c r="S722" s="983"/>
      <c r="T722" s="983"/>
      <c r="U722" s="983"/>
      <c r="V722" s="700"/>
      <c r="W722" s="700"/>
      <c r="X722" s="700"/>
      <c r="Y722" s="973"/>
      <c r="Z722" s="973"/>
      <c r="AA722" s="973"/>
      <c r="AB722" s="636"/>
      <c r="AC722" s="636"/>
      <c r="AD722" s="636"/>
      <c r="AE722" s="636"/>
      <c r="AF722" s="636"/>
      <c r="AG722" s="636"/>
      <c r="AH722" s="636"/>
      <c r="AI722" s="600" t="s">
        <v>1614</v>
      </c>
      <c r="AJ722" s="1921">
        <f>VLOOKUP($H$720,$AO$655:$AP$657,2,FALSE)</f>
        <v>0</v>
      </c>
      <c r="AK722" s="1923"/>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67"/>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87"/>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5"/>
      <c r="D726" s="698" t="s">
        <v>698</v>
      </c>
      <c r="E726" s="1914" t="s">
        <v>1616</v>
      </c>
      <c r="F726" s="1914"/>
      <c r="G726" s="1914"/>
      <c r="H726" s="1914"/>
      <c r="I726" s="1914"/>
      <c r="J726" s="1914"/>
      <c r="K726" s="1914"/>
      <c r="L726" s="1914"/>
      <c r="M726" s="1914"/>
      <c r="N726" s="1914"/>
      <c r="O726" s="1914"/>
      <c r="P726" s="1914"/>
      <c r="Q726" s="1914"/>
      <c r="R726" s="1914"/>
      <c r="S726" s="1914"/>
      <c r="T726" s="1914"/>
      <c r="U726" s="1914"/>
      <c r="V726" s="1914"/>
      <c r="W726" s="1914"/>
      <c r="X726" s="1914"/>
      <c r="Y726" s="1914"/>
      <c r="Z726" s="1914"/>
      <c r="AA726" s="1914"/>
      <c r="AB726" s="1914"/>
      <c r="AC726" s="571"/>
      <c r="AD726" s="571"/>
      <c r="AE726" s="571"/>
      <c r="AF726" s="1994" t="s">
        <v>1526</v>
      </c>
      <c r="AG726" s="1994"/>
      <c r="AH726" s="1994"/>
      <c r="AI726" s="1994"/>
      <c r="AJ726" s="1994"/>
      <c r="AK726" s="1994"/>
      <c r="AL726" s="1994"/>
      <c r="AM726" s="585"/>
      <c r="AN726" s="719"/>
      <c r="AT726" s="14"/>
      <c r="AU726" s="14"/>
      <c r="AV726" s="14"/>
      <c r="AW726" s="14"/>
      <c r="AX726" s="14"/>
      <c r="AY726" s="14"/>
      <c r="AZ726" s="14"/>
    </row>
    <row r="727" spans="1:81" s="605" customFormat="1">
      <c r="A727" s="585"/>
      <c r="B727" s="571"/>
      <c r="C727" s="965"/>
      <c r="D727" s="698"/>
      <c r="E727" s="1914"/>
      <c r="F727" s="1914"/>
      <c r="G727" s="1914"/>
      <c r="H727" s="1914"/>
      <c r="I727" s="1914"/>
      <c r="J727" s="1914"/>
      <c r="K727" s="1914"/>
      <c r="L727" s="1914"/>
      <c r="M727" s="1914"/>
      <c r="N727" s="1914"/>
      <c r="O727" s="1914"/>
      <c r="P727" s="1914"/>
      <c r="Q727" s="1914"/>
      <c r="R727" s="1914"/>
      <c r="S727" s="1914"/>
      <c r="T727" s="1914"/>
      <c r="U727" s="1914"/>
      <c r="V727" s="1914"/>
      <c r="W727" s="1914"/>
      <c r="X727" s="1914"/>
      <c r="Y727" s="1914"/>
      <c r="Z727" s="1914"/>
      <c r="AA727" s="1914"/>
      <c r="AB727" s="191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67"/>
      <c r="D728" s="698"/>
      <c r="E728" s="1914"/>
      <c r="F728" s="1914"/>
      <c r="G728" s="1914"/>
      <c r="H728" s="1914"/>
      <c r="I728" s="1914"/>
      <c r="J728" s="1914"/>
      <c r="K728" s="1914"/>
      <c r="L728" s="1914"/>
      <c r="M728" s="1914"/>
      <c r="N728" s="1914"/>
      <c r="O728" s="1914"/>
      <c r="P728" s="1914"/>
      <c r="Q728" s="1914"/>
      <c r="R728" s="1914"/>
      <c r="S728" s="1914"/>
      <c r="T728" s="1914"/>
      <c r="U728" s="1914"/>
      <c r="V728" s="1914"/>
      <c r="W728" s="1914"/>
      <c r="X728" s="1914"/>
      <c r="Y728" s="1914"/>
      <c r="Z728" s="1914"/>
      <c r="AA728" s="1914"/>
      <c r="AB728" s="1914"/>
      <c r="AC728" s="571"/>
      <c r="AD728" s="571"/>
      <c r="AE728" s="571"/>
      <c r="AF728" s="571"/>
      <c r="AG728" s="571"/>
      <c r="AH728" s="571"/>
      <c r="AI728" s="571"/>
      <c r="AJ728" s="571"/>
      <c r="AK728" s="571"/>
      <c r="AL728" s="571"/>
      <c r="AM728" s="585"/>
      <c r="AN728" s="719"/>
    </row>
    <row r="729" spans="1:81" s="605" customFormat="1" ht="12.75" customHeight="1">
      <c r="A729" s="585"/>
      <c r="B729" s="571"/>
      <c r="C729" s="967"/>
      <c r="D729" s="698"/>
      <c r="E729" s="1914"/>
      <c r="F729" s="1914"/>
      <c r="G729" s="1914"/>
      <c r="H729" s="1914"/>
      <c r="I729" s="1914"/>
      <c r="J729" s="1914"/>
      <c r="K729" s="1914"/>
      <c r="L729" s="1914"/>
      <c r="M729" s="1914"/>
      <c r="N729" s="1914"/>
      <c r="O729" s="1914"/>
      <c r="P729" s="1914"/>
      <c r="Q729" s="1914"/>
      <c r="R729" s="1914"/>
      <c r="S729" s="1914"/>
      <c r="T729" s="1914"/>
      <c r="U729" s="1914"/>
      <c r="V729" s="1914"/>
      <c r="W729" s="1914"/>
      <c r="X729" s="1914"/>
      <c r="Y729" s="1914"/>
      <c r="Z729" s="1914"/>
      <c r="AA729" s="1914"/>
      <c r="AB729" s="1914"/>
      <c r="AC729" s="571"/>
      <c r="AD729" s="571"/>
      <c r="AE729" s="571"/>
      <c r="AF729" s="571"/>
      <c r="AG729" s="571"/>
      <c r="AH729" s="571"/>
      <c r="AI729" s="571"/>
      <c r="AJ729" s="571"/>
      <c r="AK729" s="571"/>
      <c r="AL729" s="571"/>
      <c r="AM729" s="585"/>
      <c r="AN729" s="569"/>
      <c r="AO729" s="14"/>
    </row>
    <row r="730" spans="1:81" s="605" customFormat="1">
      <c r="A730" s="714"/>
      <c r="B730" s="630"/>
      <c r="C730" s="965"/>
      <c r="D730" s="698"/>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571"/>
      <c r="AD730" s="571"/>
      <c r="AE730" s="571"/>
      <c r="AF730" s="571"/>
      <c r="AG730" s="571"/>
      <c r="AH730" s="571"/>
      <c r="AI730" s="571"/>
      <c r="AJ730" s="571"/>
      <c r="AK730" s="571"/>
      <c r="AL730" s="571"/>
      <c r="AM730" s="585"/>
      <c r="AN730" s="719"/>
      <c r="AO730" s="30"/>
      <c r="AP730" s="14"/>
    </row>
    <row r="731" spans="1:81" s="605" customFormat="1">
      <c r="A731" s="585"/>
      <c r="B731" s="571"/>
      <c r="C731" s="965"/>
      <c r="D731" s="698" t="s">
        <v>519</v>
      </c>
      <c r="E731" s="1914" t="s">
        <v>1617</v>
      </c>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c r="AA731" s="1914"/>
      <c r="AB731" s="610"/>
      <c r="AC731" s="571"/>
      <c r="AD731" s="571"/>
      <c r="AE731" s="571"/>
      <c r="AF731" s="1994" t="s">
        <v>1582</v>
      </c>
      <c r="AG731" s="1994"/>
      <c r="AH731" s="1994"/>
      <c r="AI731" s="1994"/>
      <c r="AJ731" s="1994"/>
      <c r="AK731" s="1994"/>
      <c r="AL731" s="1994"/>
      <c r="AM731" s="585"/>
      <c r="AN731" s="719"/>
      <c r="AO731" s="30"/>
      <c r="AP731" s="14"/>
    </row>
    <row r="732" spans="1:81" s="605" customFormat="1">
      <c r="A732" s="585"/>
      <c r="B732" s="571"/>
      <c r="C732" s="965"/>
      <c r="D732" s="698"/>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c r="AA732" s="1914"/>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5"/>
      <c r="D733" s="571"/>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c r="AA733" s="1914"/>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5"/>
      <c r="D734" s="571"/>
      <c r="E734" s="1914"/>
      <c r="F734" s="1914"/>
      <c r="G734" s="1914"/>
      <c r="H734" s="1914"/>
      <c r="I734" s="1914"/>
      <c r="J734" s="1914"/>
      <c r="K734" s="1914"/>
      <c r="L734" s="1914"/>
      <c r="M734" s="1914"/>
      <c r="N734" s="1914"/>
      <c r="O734" s="1914"/>
      <c r="P734" s="1914"/>
      <c r="Q734" s="1914"/>
      <c r="R734" s="1914"/>
      <c r="S734" s="1914"/>
      <c r="T734" s="1914"/>
      <c r="U734" s="1914"/>
      <c r="V734" s="1914"/>
      <c r="W734" s="1914"/>
      <c r="X734" s="1914"/>
      <c r="Y734" s="1914"/>
      <c r="Z734" s="1914"/>
      <c r="AA734" s="1914"/>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5"/>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5"/>
      <c r="D736" s="571" t="s">
        <v>1574</v>
      </c>
      <c r="E736" s="970"/>
      <c r="F736" s="970"/>
      <c r="G736" s="970"/>
      <c r="H736" s="1938" t="s">
        <v>519</v>
      </c>
      <c r="I736" s="193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5"/>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78"/>
      <c r="D738" s="636"/>
      <c r="E738" s="988"/>
      <c r="F738" s="988"/>
      <c r="G738" s="988"/>
      <c r="H738" s="988"/>
      <c r="I738" s="988"/>
      <c r="J738" s="988"/>
      <c r="K738" s="988"/>
      <c r="L738" s="988"/>
      <c r="M738" s="988"/>
      <c r="N738" s="988"/>
      <c r="O738" s="988"/>
      <c r="P738" s="988"/>
      <c r="Q738" s="988"/>
      <c r="R738" s="988"/>
      <c r="S738" s="988"/>
      <c r="T738" s="988"/>
      <c r="U738" s="988"/>
      <c r="V738" s="988"/>
      <c r="W738" s="988"/>
      <c r="X738" s="988"/>
      <c r="Y738" s="988"/>
      <c r="Z738" s="988"/>
      <c r="AA738" s="988"/>
      <c r="AB738" s="722"/>
      <c r="AC738" s="722"/>
      <c r="AD738" s="722"/>
      <c r="AE738" s="722"/>
      <c r="AF738" s="722"/>
      <c r="AG738" s="722"/>
      <c r="AH738" s="636"/>
      <c r="AI738" s="600" t="s">
        <v>1618</v>
      </c>
      <c r="AJ738" s="1921">
        <f>VLOOKUP($H$736,$AO$669:$AP$671,2,FALSE)</f>
        <v>2</v>
      </c>
      <c r="AK738" s="1923"/>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67"/>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0"/>
      <c r="AA739" s="970"/>
      <c r="AB739" s="970"/>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5"/>
      <c r="D742" s="698" t="s">
        <v>698</v>
      </c>
      <c r="E742" s="1914" t="s">
        <v>1619</v>
      </c>
      <c r="F742" s="1914"/>
      <c r="G742" s="1914"/>
      <c r="H742" s="1914"/>
      <c r="I742" s="1914"/>
      <c r="J742" s="1914"/>
      <c r="K742" s="1914"/>
      <c r="L742" s="1914"/>
      <c r="M742" s="1914"/>
      <c r="N742" s="1914"/>
      <c r="O742" s="1914"/>
      <c r="P742" s="1914"/>
      <c r="Q742" s="1914"/>
      <c r="R742" s="1914"/>
      <c r="S742" s="1914"/>
      <c r="T742" s="1914"/>
      <c r="U742" s="1914"/>
      <c r="V742" s="1914"/>
      <c r="W742" s="1914"/>
      <c r="X742" s="1914"/>
      <c r="Y742" s="1914"/>
      <c r="Z742" s="1914"/>
      <c r="AA742" s="1914"/>
      <c r="AB742" s="1914"/>
      <c r="AC742" s="571"/>
      <c r="AD742" s="571"/>
      <c r="AE742" s="571"/>
      <c r="AF742" s="1994" t="s">
        <v>1582</v>
      </c>
      <c r="AG742" s="1994"/>
      <c r="AH742" s="1994"/>
      <c r="AI742" s="1994"/>
      <c r="AJ742" s="1994"/>
      <c r="AK742" s="1994"/>
      <c r="AL742" s="199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67"/>
      <c r="D743" s="698"/>
      <c r="E743" s="1914"/>
      <c r="F743" s="1914"/>
      <c r="G743" s="1914"/>
      <c r="H743" s="1914"/>
      <c r="I743" s="1914"/>
      <c r="J743" s="1914"/>
      <c r="K743" s="1914"/>
      <c r="L743" s="1914"/>
      <c r="M743" s="1914"/>
      <c r="N743" s="1914"/>
      <c r="O743" s="1914"/>
      <c r="P743" s="1914"/>
      <c r="Q743" s="1914"/>
      <c r="R743" s="1914"/>
      <c r="S743" s="1914"/>
      <c r="T743" s="1914"/>
      <c r="U743" s="1914"/>
      <c r="V743" s="1914"/>
      <c r="W743" s="1914"/>
      <c r="X743" s="1914"/>
      <c r="Y743" s="1914"/>
      <c r="Z743" s="1914"/>
      <c r="AA743" s="1914"/>
      <c r="AB743" s="191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4"/>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5"/>
      <c r="D745" s="698" t="s">
        <v>519</v>
      </c>
      <c r="E745" s="1914" t="s">
        <v>1620</v>
      </c>
      <c r="F745" s="1914"/>
      <c r="G745" s="1914"/>
      <c r="H745" s="1914"/>
      <c r="I745" s="1914"/>
      <c r="J745" s="1914"/>
      <c r="K745" s="1914"/>
      <c r="L745" s="1914"/>
      <c r="M745" s="1914"/>
      <c r="N745" s="1914"/>
      <c r="O745" s="1914"/>
      <c r="P745" s="1914"/>
      <c r="Q745" s="1914"/>
      <c r="R745" s="1914"/>
      <c r="S745" s="1914"/>
      <c r="T745" s="1914"/>
      <c r="U745" s="1914"/>
      <c r="V745" s="1914"/>
      <c r="W745" s="1914"/>
      <c r="X745" s="1914"/>
      <c r="Y745" s="1914"/>
      <c r="Z745" s="1914"/>
      <c r="AA745" s="1914"/>
      <c r="AB745" s="1914"/>
      <c r="AC745" s="571"/>
      <c r="AD745" s="571"/>
      <c r="AE745" s="571"/>
      <c r="AF745" s="1994" t="s">
        <v>1599</v>
      </c>
      <c r="AG745" s="1994"/>
      <c r="AH745" s="1994"/>
      <c r="AI745" s="1994"/>
      <c r="AJ745" s="1994"/>
      <c r="AK745" s="1994"/>
      <c r="AL745" s="199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5"/>
      <c r="D746" s="698"/>
      <c r="E746" s="1914"/>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c r="AA746" s="1914"/>
      <c r="AB746" s="191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67"/>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0"/>
      <c r="F748" s="970"/>
      <c r="G748" s="970"/>
      <c r="H748" s="1938" t="s">
        <v>519</v>
      </c>
      <c r="I748" s="193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4"/>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89"/>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21">
        <f>VLOOKUP($H$748,$AO$683:$AP$685,2,FALSE)</f>
        <v>1</v>
      </c>
      <c r="AK750" s="1923"/>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4"/>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4"/>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4"/>
      <c r="D754" s="698" t="s">
        <v>698</v>
      </c>
      <c r="E754" s="1914" t="s">
        <v>1954</v>
      </c>
      <c r="F754" s="1914"/>
      <c r="G754" s="1914"/>
      <c r="H754" s="1914"/>
      <c r="I754" s="1914"/>
      <c r="J754" s="1914"/>
      <c r="K754" s="1914"/>
      <c r="L754" s="1914"/>
      <c r="M754" s="1914"/>
      <c r="N754" s="1914"/>
      <c r="O754" s="1914"/>
      <c r="P754" s="1914"/>
      <c r="Q754" s="1914"/>
      <c r="R754" s="1914"/>
      <c r="S754" s="1914"/>
      <c r="T754" s="1914"/>
      <c r="U754" s="1914"/>
      <c r="V754" s="1914"/>
      <c r="W754" s="1914"/>
      <c r="X754" s="1914"/>
      <c r="Y754" s="1914"/>
      <c r="Z754" s="1914"/>
      <c r="AA754" s="1914"/>
      <c r="AB754" s="1914"/>
      <c r="AC754" s="1914"/>
      <c r="AD754" s="1914"/>
      <c r="AE754" s="571"/>
      <c r="AF754" s="1994" t="s">
        <v>1582</v>
      </c>
      <c r="AG754" s="1994"/>
      <c r="AH754" s="1994"/>
      <c r="AI754" s="1994"/>
      <c r="AJ754" s="1994"/>
      <c r="AK754" s="1994"/>
      <c r="AL754" s="1994"/>
      <c r="AM754" s="648"/>
      <c r="AN754" s="719"/>
    </row>
    <row r="755" spans="1:81" s="605" customFormat="1" ht="13.7" customHeight="1">
      <c r="A755" s="585"/>
      <c r="B755" s="651"/>
      <c r="C755" s="974"/>
      <c r="D755" s="698"/>
      <c r="E755" s="1914"/>
      <c r="F755" s="1914"/>
      <c r="G755" s="1914"/>
      <c r="H755" s="1914"/>
      <c r="I755" s="1914"/>
      <c r="J755" s="1914"/>
      <c r="K755" s="1914"/>
      <c r="L755" s="1914"/>
      <c r="M755" s="1914"/>
      <c r="N755" s="1914"/>
      <c r="O755" s="1914"/>
      <c r="P755" s="1914"/>
      <c r="Q755" s="1914"/>
      <c r="R755" s="1914"/>
      <c r="S755" s="1914"/>
      <c r="T755" s="1914"/>
      <c r="U755" s="1914"/>
      <c r="V755" s="1914"/>
      <c r="W755" s="1914"/>
      <c r="X755" s="1914"/>
      <c r="Y755" s="1914"/>
      <c r="Z755" s="1914"/>
      <c r="AA755" s="1914"/>
      <c r="AB755" s="1914"/>
      <c r="AC755" s="1914"/>
      <c r="AD755" s="1914"/>
      <c r="AE755" s="571"/>
      <c r="AF755" s="629"/>
      <c r="AG755" s="629"/>
      <c r="AH755" s="629"/>
      <c r="AI755" s="629"/>
      <c r="AJ755" s="629"/>
      <c r="AK755" s="629"/>
      <c r="AL755" s="629"/>
      <c r="AM755" s="648"/>
      <c r="AN755" s="719"/>
    </row>
    <row r="756" spans="1:81" s="605" customFormat="1">
      <c r="A756" s="585"/>
      <c r="B756" s="651"/>
      <c r="C756" s="974"/>
      <c r="D756" s="698"/>
      <c r="E756" s="1914"/>
      <c r="F756" s="1914"/>
      <c r="G756" s="1914"/>
      <c r="H756" s="1914"/>
      <c r="I756" s="1914"/>
      <c r="J756" s="1914"/>
      <c r="K756" s="1914"/>
      <c r="L756" s="1914"/>
      <c r="M756" s="1914"/>
      <c r="N756" s="1914"/>
      <c r="O756" s="1914"/>
      <c r="P756" s="1914"/>
      <c r="Q756" s="1914"/>
      <c r="R756" s="1914"/>
      <c r="S756" s="1914"/>
      <c r="T756" s="1914"/>
      <c r="U756" s="1914"/>
      <c r="V756" s="1914"/>
      <c r="W756" s="1914"/>
      <c r="X756" s="1914"/>
      <c r="Y756" s="1914"/>
      <c r="Z756" s="1914"/>
      <c r="AA756" s="1914"/>
      <c r="AB756" s="1914"/>
      <c r="AC756" s="1914"/>
      <c r="AD756" s="191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4"/>
      <c r="D757" s="698"/>
      <c r="E757" s="1914"/>
      <c r="F757" s="1914"/>
      <c r="G757" s="1914"/>
      <c r="H757" s="1914"/>
      <c r="I757" s="1914"/>
      <c r="J757" s="1914"/>
      <c r="K757" s="1914"/>
      <c r="L757" s="1914"/>
      <c r="M757" s="1914"/>
      <c r="N757" s="1914"/>
      <c r="O757" s="1914"/>
      <c r="P757" s="1914"/>
      <c r="Q757" s="1914"/>
      <c r="R757" s="1914"/>
      <c r="S757" s="1914"/>
      <c r="T757" s="1914"/>
      <c r="U757" s="1914"/>
      <c r="V757" s="1914"/>
      <c r="W757" s="1914"/>
      <c r="X757" s="1914"/>
      <c r="Y757" s="1914"/>
      <c r="Z757" s="1914"/>
      <c r="AA757" s="1914"/>
      <c r="AB757" s="1914"/>
      <c r="AC757" s="1914"/>
      <c r="AD757" s="191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4"/>
      <c r="D758" s="698"/>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942"/>
      <c r="AD758" s="942"/>
      <c r="AE758" s="629"/>
      <c r="AF758" s="571"/>
      <c r="AG758" s="571"/>
      <c r="AH758" s="571"/>
      <c r="AI758" s="571"/>
      <c r="AJ758" s="571"/>
      <c r="AK758" s="571"/>
      <c r="AL758" s="571"/>
      <c r="AM758" s="648"/>
      <c r="AN758" s="632"/>
    </row>
    <row r="759" spans="1:81" s="585" customFormat="1" ht="12.75" customHeight="1">
      <c r="B759" s="651"/>
      <c r="C759" s="974"/>
      <c r="D759" s="698" t="s">
        <v>519</v>
      </c>
      <c r="E759" s="2026" t="s">
        <v>1959</v>
      </c>
      <c r="F759" s="2026"/>
      <c r="G759" s="2026"/>
      <c r="H759" s="2026"/>
      <c r="I759" s="2026"/>
      <c r="J759" s="2026"/>
      <c r="K759" s="2026"/>
      <c r="L759" s="2026"/>
      <c r="M759" s="2026"/>
      <c r="N759" s="2026"/>
      <c r="O759" s="2026"/>
      <c r="P759" s="2026"/>
      <c r="Q759" s="2026"/>
      <c r="R759" s="2026"/>
      <c r="S759" s="2026"/>
      <c r="T759" s="2026"/>
      <c r="U759" s="2026"/>
      <c r="V759" s="2026"/>
      <c r="W759" s="2026"/>
      <c r="X759" s="2026"/>
      <c r="Y759" s="2026"/>
      <c r="Z759" s="2026"/>
      <c r="AA759" s="2026"/>
      <c r="AB759" s="2026"/>
      <c r="AC759" s="2026"/>
      <c r="AD759" s="2026"/>
      <c r="AE759" s="571"/>
      <c r="AF759" s="1994" t="s">
        <v>1526</v>
      </c>
      <c r="AG759" s="1994"/>
      <c r="AH759" s="1994"/>
      <c r="AI759" s="1994"/>
      <c r="AJ759" s="1994"/>
      <c r="AK759" s="1994"/>
      <c r="AL759" s="1994"/>
      <c r="AM759" s="648"/>
      <c r="AN759" s="632"/>
    </row>
    <row r="760" spans="1:81" s="585" customFormat="1" ht="12.75" customHeight="1">
      <c r="B760" s="651"/>
      <c r="C760" s="974"/>
      <c r="D760" s="698"/>
      <c r="E760" s="2026"/>
      <c r="F760" s="2026"/>
      <c r="G760" s="2026"/>
      <c r="H760" s="2026"/>
      <c r="I760" s="2026"/>
      <c r="J760" s="2026"/>
      <c r="K760" s="2026"/>
      <c r="L760" s="2026"/>
      <c r="M760" s="2026"/>
      <c r="N760" s="2026"/>
      <c r="O760" s="2026"/>
      <c r="P760" s="2026"/>
      <c r="Q760" s="2026"/>
      <c r="R760" s="2026"/>
      <c r="S760" s="2026"/>
      <c r="T760" s="2026"/>
      <c r="U760" s="2026"/>
      <c r="V760" s="2026"/>
      <c r="W760" s="2026"/>
      <c r="X760" s="2026"/>
      <c r="Y760" s="2026"/>
      <c r="Z760" s="2026"/>
      <c r="AA760" s="2026"/>
      <c r="AB760" s="2026"/>
      <c r="AC760" s="2026"/>
      <c r="AD760" s="2026"/>
      <c r="AE760" s="629"/>
      <c r="AF760" s="629"/>
      <c r="AG760" s="629"/>
      <c r="AH760" s="629"/>
      <c r="AI760" s="629"/>
      <c r="AJ760" s="629"/>
      <c r="AK760" s="629"/>
      <c r="AL760" s="629"/>
      <c r="AM760" s="648"/>
      <c r="AN760" s="632"/>
    </row>
    <row r="761" spans="1:81" s="585" customFormat="1" ht="12.75" customHeight="1">
      <c r="B761" s="651"/>
      <c r="C761" s="974"/>
      <c r="D761" s="698"/>
      <c r="E761" s="2026"/>
      <c r="F761" s="2026"/>
      <c r="G761" s="2026"/>
      <c r="H761" s="2026"/>
      <c r="I761" s="2026"/>
      <c r="J761" s="2026"/>
      <c r="K761" s="2026"/>
      <c r="L761" s="2026"/>
      <c r="M761" s="2026"/>
      <c r="N761" s="2026"/>
      <c r="O761" s="2026"/>
      <c r="P761" s="2026"/>
      <c r="Q761" s="2026"/>
      <c r="R761" s="2026"/>
      <c r="S761" s="2026"/>
      <c r="T761" s="2026"/>
      <c r="U761" s="2026"/>
      <c r="V761" s="2026"/>
      <c r="W761" s="2026"/>
      <c r="X761" s="2026"/>
      <c r="Y761" s="2026"/>
      <c r="Z761" s="2026"/>
      <c r="AA761" s="2026"/>
      <c r="AB761" s="2026"/>
      <c r="AC761" s="2026"/>
      <c r="AD761" s="2026"/>
      <c r="AE761" s="629"/>
      <c r="AF761" s="629"/>
      <c r="AG761" s="629"/>
      <c r="AH761" s="629"/>
      <c r="AI761" s="629"/>
      <c r="AJ761" s="629"/>
      <c r="AK761" s="629"/>
      <c r="AL761" s="629"/>
      <c r="AM761" s="648"/>
      <c r="AN761" s="632"/>
    </row>
    <row r="762" spans="1:81" s="585" customFormat="1" ht="12.75" customHeight="1">
      <c r="B762" s="651"/>
      <c r="C762" s="974"/>
      <c r="D762" s="698"/>
      <c r="E762" s="2026"/>
      <c r="F762" s="2026"/>
      <c r="G762" s="2026"/>
      <c r="H762" s="2026"/>
      <c r="I762" s="2026"/>
      <c r="J762" s="2026"/>
      <c r="K762" s="2026"/>
      <c r="L762" s="2026"/>
      <c r="M762" s="2026"/>
      <c r="N762" s="2026"/>
      <c r="O762" s="2026"/>
      <c r="P762" s="2026"/>
      <c r="Q762" s="2026"/>
      <c r="R762" s="2026"/>
      <c r="S762" s="2026"/>
      <c r="T762" s="2026"/>
      <c r="U762" s="2026"/>
      <c r="V762" s="2026"/>
      <c r="W762" s="2026"/>
      <c r="X762" s="2026"/>
      <c r="Y762" s="2026"/>
      <c r="Z762" s="2026"/>
      <c r="AA762" s="2026"/>
      <c r="AB762" s="2026"/>
      <c r="AC762" s="2026"/>
      <c r="AD762" s="2026"/>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4"/>
      <c r="D764" s="571" t="s">
        <v>1574</v>
      </c>
      <c r="E764" s="970"/>
      <c r="F764" s="970"/>
      <c r="G764" s="970"/>
      <c r="H764" s="1938" t="s">
        <v>601</v>
      </c>
      <c r="I764" s="193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4"/>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89"/>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21">
        <f>VLOOKUP($H$764,$AP$705:$AQ$707,2,FALSE)</f>
        <v>0</v>
      </c>
      <c r="AK766" s="1923"/>
      <c r="AL766" s="630"/>
      <c r="AN766" s="632"/>
    </row>
    <row r="767" spans="1:81" s="605" customFormat="1">
      <c r="A767" s="585"/>
      <c r="B767" s="651"/>
      <c r="C767" s="974"/>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4"/>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4"/>
      <c r="D770" s="698" t="s">
        <v>698</v>
      </c>
      <c r="E770" s="1914" t="s">
        <v>2427</v>
      </c>
      <c r="F770" s="1914"/>
      <c r="G770" s="1914"/>
      <c r="H770" s="1914"/>
      <c r="I770" s="1914"/>
      <c r="J770" s="1914"/>
      <c r="K770" s="1914"/>
      <c r="L770" s="1914"/>
      <c r="M770" s="1914"/>
      <c r="N770" s="1914"/>
      <c r="O770" s="1914"/>
      <c r="P770" s="1914"/>
      <c r="Q770" s="1914"/>
      <c r="R770" s="1914"/>
      <c r="S770" s="1914"/>
      <c r="T770" s="1914"/>
      <c r="U770" s="1914"/>
      <c r="V770" s="1914"/>
      <c r="W770" s="1914"/>
      <c r="X770" s="1914"/>
      <c r="Y770" s="1914"/>
      <c r="Z770" s="1914"/>
      <c r="AA770" s="1914"/>
      <c r="AB770" s="1914"/>
      <c r="AC770" s="1914"/>
      <c r="AD770" s="1914"/>
      <c r="AE770" s="571"/>
      <c r="AF770" s="1994" t="s">
        <v>1526</v>
      </c>
      <c r="AG770" s="1994"/>
      <c r="AH770" s="1994"/>
      <c r="AI770" s="1994"/>
      <c r="AJ770" s="1994"/>
      <c r="AK770" s="1994"/>
      <c r="AL770" s="1994"/>
      <c r="AM770" s="648"/>
      <c r="AN770" s="719"/>
      <c r="AO770" s="646" t="s">
        <v>555</v>
      </c>
      <c r="AP770" s="585">
        <v>3</v>
      </c>
      <c r="AT770" s="709"/>
      <c r="AU770" s="709"/>
      <c r="AV770" s="709"/>
      <c r="AW770" s="709"/>
      <c r="AX770" s="709"/>
      <c r="AY770" s="709"/>
      <c r="AZ770" s="709"/>
    </row>
    <row r="771" spans="1:81" s="605" customFormat="1" ht="13.7" customHeight="1">
      <c r="A771" s="585"/>
      <c r="B771" s="651"/>
      <c r="C771" s="974"/>
      <c r="D771" s="698"/>
      <c r="E771" s="1914"/>
      <c r="F771" s="1914"/>
      <c r="G771" s="1914"/>
      <c r="H771" s="1914"/>
      <c r="I771" s="1914"/>
      <c r="J771" s="1914"/>
      <c r="K771" s="1914"/>
      <c r="L771" s="1914"/>
      <c r="M771" s="1914"/>
      <c r="N771" s="1914"/>
      <c r="O771" s="1914"/>
      <c r="P771" s="1914"/>
      <c r="Q771" s="1914"/>
      <c r="R771" s="1914"/>
      <c r="S771" s="1914"/>
      <c r="T771" s="1914"/>
      <c r="U771" s="1914"/>
      <c r="V771" s="1914"/>
      <c r="W771" s="1914"/>
      <c r="X771" s="1914"/>
      <c r="Y771" s="1914"/>
      <c r="Z771" s="1914"/>
      <c r="AA771" s="1914"/>
      <c r="AB771" s="1914"/>
      <c r="AC771" s="1914"/>
      <c r="AD771" s="191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4"/>
      <c r="D772" s="698"/>
      <c r="E772" s="1914"/>
      <c r="F772" s="1914"/>
      <c r="G772" s="1914"/>
      <c r="H772" s="1914"/>
      <c r="I772" s="1914"/>
      <c r="J772" s="1914"/>
      <c r="K772" s="1914"/>
      <c r="L772" s="1914"/>
      <c r="M772" s="1914"/>
      <c r="N772" s="1914"/>
      <c r="O772" s="1914"/>
      <c r="P772" s="1914"/>
      <c r="Q772" s="1914"/>
      <c r="R772" s="1914"/>
      <c r="S772" s="1914"/>
      <c r="T772" s="1914"/>
      <c r="U772" s="1914"/>
      <c r="V772" s="1914"/>
      <c r="W772" s="1914"/>
      <c r="X772" s="1914"/>
      <c r="Y772" s="1914"/>
      <c r="Z772" s="1914"/>
      <c r="AA772" s="1914"/>
      <c r="AB772" s="1914"/>
      <c r="AC772" s="1914"/>
      <c r="AD772" s="191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4"/>
      <c r="D773" s="698"/>
      <c r="E773" s="1914"/>
      <c r="F773" s="1914"/>
      <c r="G773" s="1914"/>
      <c r="H773" s="1914"/>
      <c r="I773" s="1914"/>
      <c r="J773" s="1914"/>
      <c r="K773" s="1914"/>
      <c r="L773" s="1914"/>
      <c r="M773" s="1914"/>
      <c r="N773" s="1914"/>
      <c r="O773" s="1914"/>
      <c r="P773" s="1914"/>
      <c r="Q773" s="1914"/>
      <c r="R773" s="1914"/>
      <c r="S773" s="1914"/>
      <c r="T773" s="1914"/>
      <c r="U773" s="1914"/>
      <c r="V773" s="1914"/>
      <c r="W773" s="1914"/>
      <c r="X773" s="1914"/>
      <c r="Y773" s="1914"/>
      <c r="Z773" s="1914"/>
      <c r="AA773" s="1914"/>
      <c r="AB773" s="1914"/>
      <c r="AC773" s="1914"/>
      <c r="AD773" s="191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4"/>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4"/>
      <c r="D775" s="571" t="s">
        <v>1574</v>
      </c>
      <c r="E775" s="970"/>
      <c r="F775" s="970"/>
      <c r="G775" s="970"/>
      <c r="H775" s="1938" t="s">
        <v>601</v>
      </c>
      <c r="I775" s="193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21">
        <f>VLOOKUP($H$775,$AO$769:$AP$770,2,FALSE)</f>
        <v>0</v>
      </c>
      <c r="AK777" s="1923"/>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21">
        <f>IF(($AJ$610+$AJ$629+$AJ$641+$AJ$676+$AJ$696+$AJ$710+$AJ$722+$AJ$738+$AJ$750+$AJ$766+AJ777)&gt;10,10,($AJ$610+$AJ$629+$AJ$641+$AJ$676+$AJ$696+$AJ$710+$AJ$722+$AJ$738+$AJ$750+$AJ$766+AJ777))</f>
        <v>10</v>
      </c>
      <c r="AL779" s="1922"/>
      <c r="AM779" s="1923"/>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85" t="s">
        <v>1747</v>
      </c>
      <c r="B782" s="1986"/>
      <c r="C782" s="1986"/>
      <c r="D782" s="1986"/>
      <c r="E782" s="1986"/>
      <c r="F782" s="1986"/>
      <c r="G782" s="1986"/>
      <c r="H782" s="1986"/>
      <c r="I782" s="1986"/>
      <c r="J782" s="1986"/>
      <c r="K782" s="1986"/>
      <c r="L782" s="1986"/>
      <c r="M782" s="1986"/>
      <c r="N782" s="1986"/>
      <c r="O782" s="1986"/>
      <c r="P782" s="1986"/>
      <c r="Q782" s="1986"/>
      <c r="R782" s="1986"/>
      <c r="S782" s="1986"/>
      <c r="T782" s="1986"/>
      <c r="U782" s="1986"/>
      <c r="V782" s="1986"/>
      <c r="W782" s="1986"/>
      <c r="X782" s="1986"/>
      <c r="Y782" s="1986"/>
      <c r="Z782" s="1986"/>
      <c r="AA782" s="1986"/>
      <c r="AB782" s="1986"/>
      <c r="AC782" s="1986"/>
      <c r="AD782" s="1986"/>
      <c r="AE782" s="1986"/>
      <c r="AF782" s="1986"/>
      <c r="AG782" s="1986"/>
      <c r="AH782" s="1986"/>
      <c r="AI782" s="1986"/>
      <c r="AJ782" s="1986"/>
      <c r="AK782" s="1986"/>
      <c r="AL782" s="1986"/>
      <c r="AM782" s="1986"/>
    </row>
    <row r="783" spans="1:81">
      <c r="A783" s="1987"/>
      <c r="B783" s="1987"/>
      <c r="C783" s="1987"/>
      <c r="D783" s="1987"/>
      <c r="E783" s="1987"/>
      <c r="F783" s="1987"/>
      <c r="G783" s="1987"/>
      <c r="H783" s="1987"/>
      <c r="I783" s="1987"/>
      <c r="J783" s="1987"/>
      <c r="K783" s="1987"/>
      <c r="L783" s="1987"/>
      <c r="M783" s="1987"/>
      <c r="N783" s="1987"/>
      <c r="O783" s="1987"/>
      <c r="P783" s="1987"/>
      <c r="Q783" s="1987"/>
      <c r="R783" s="1987"/>
      <c r="S783" s="1987"/>
      <c r="T783" s="1987"/>
      <c r="U783" s="1987"/>
      <c r="V783" s="1987"/>
      <c r="W783" s="1987"/>
      <c r="X783" s="1987"/>
      <c r="Y783" s="1987"/>
      <c r="Z783" s="1987"/>
      <c r="AA783" s="1987"/>
      <c r="AB783" s="1987"/>
      <c r="AC783" s="1987"/>
      <c r="AD783" s="1987"/>
      <c r="AE783" s="1987"/>
      <c r="AF783" s="1987"/>
      <c r="AG783" s="1987"/>
      <c r="AH783" s="1987"/>
      <c r="AI783" s="1987"/>
      <c r="AJ783" s="1987"/>
      <c r="AK783" s="1987"/>
      <c r="AL783" s="1987"/>
      <c r="AM783" s="198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24"/>
      <c r="B785" s="1924"/>
      <c r="C785" s="1924"/>
      <c r="D785" s="1924"/>
      <c r="E785" s="1924"/>
      <c r="F785" s="1924"/>
      <c r="G785" s="1924"/>
      <c r="H785" s="1924"/>
      <c r="I785" s="1924"/>
      <c r="J785" s="1924"/>
      <c r="K785" s="1924"/>
      <c r="L785" s="1924"/>
      <c r="M785" s="1924"/>
      <c r="N785" s="1924"/>
      <c r="O785" s="1924"/>
      <c r="P785" s="1924"/>
      <c r="Q785" s="1924"/>
      <c r="R785" s="1924"/>
      <c r="S785" s="1924"/>
      <c r="T785" s="1924"/>
      <c r="U785" s="1924"/>
      <c r="V785" s="1924"/>
      <c r="W785" s="1924"/>
      <c r="X785" s="1924"/>
      <c r="Y785" s="1924"/>
      <c r="Z785" s="1924"/>
      <c r="AA785" s="1924"/>
      <c r="AB785" s="1924"/>
      <c r="AC785" s="1924"/>
      <c r="AD785" s="1924"/>
      <c r="AE785" s="1924"/>
      <c r="AF785" s="1924"/>
      <c r="AG785" s="1924"/>
      <c r="AH785" s="1924"/>
      <c r="AI785" s="1924"/>
      <c r="AJ785" s="1924"/>
      <c r="AK785" s="1924"/>
      <c r="AL785" s="1924"/>
      <c r="AM785" s="1924"/>
      <c r="AP785" s="852"/>
      <c r="AQ785" s="852"/>
    </row>
    <row r="786" spans="1:81">
      <c r="A786" s="1924"/>
      <c r="B786" s="1924"/>
      <c r="C786" s="1924"/>
      <c r="D786" s="1924"/>
      <c r="E786" s="1924"/>
      <c r="F786" s="1924"/>
      <c r="G786" s="1924"/>
      <c r="H786" s="1924"/>
      <c r="I786" s="1924"/>
      <c r="J786" s="1924"/>
      <c r="K786" s="1924"/>
      <c r="L786" s="1924"/>
      <c r="M786" s="1924"/>
      <c r="N786" s="1924"/>
      <c r="O786" s="1924"/>
      <c r="P786" s="1924"/>
      <c r="Q786" s="1924"/>
      <c r="R786" s="1924"/>
      <c r="S786" s="1924"/>
      <c r="T786" s="1924"/>
      <c r="U786" s="1924"/>
      <c r="V786" s="1924"/>
      <c r="W786" s="1924"/>
      <c r="X786" s="1924"/>
      <c r="Y786" s="1924"/>
      <c r="Z786" s="1924"/>
      <c r="AA786" s="1924"/>
      <c r="AB786" s="1924"/>
      <c r="AC786" s="1924"/>
      <c r="AD786" s="1924"/>
      <c r="AE786" s="1924"/>
      <c r="AF786" s="1924"/>
      <c r="AG786" s="1924"/>
      <c r="AH786" s="1924"/>
      <c r="AI786" s="1924"/>
      <c r="AJ786" s="1924"/>
      <c r="AK786" s="1924"/>
      <c r="AL786" s="1924"/>
      <c r="AM786" s="1924"/>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88" t="s">
        <v>1748</v>
      </c>
      <c r="U787" s="1989"/>
      <c r="V787" s="1989"/>
      <c r="W787" s="1989"/>
      <c r="X787" s="1989"/>
      <c r="Y787" s="1990"/>
      <c r="Z787" s="1988" t="s">
        <v>1749</v>
      </c>
      <c r="AA787" s="1989"/>
      <c r="AB787" s="1989"/>
      <c r="AC787" s="1989"/>
      <c r="AD787" s="1989"/>
      <c r="AE787" s="1990"/>
      <c r="AF787" s="1988" t="s">
        <v>1750</v>
      </c>
      <c r="AG787" s="1989"/>
      <c r="AH787" s="1989"/>
      <c r="AI787" s="1989"/>
      <c r="AJ787" s="1989"/>
      <c r="AK787" s="199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91"/>
      <c r="U788" s="1992"/>
      <c r="V788" s="1992"/>
      <c r="W788" s="1992"/>
      <c r="X788" s="1992"/>
      <c r="Y788" s="1993"/>
      <c r="Z788" s="1991"/>
      <c r="AA788" s="1992"/>
      <c r="AB788" s="1992"/>
      <c r="AC788" s="1992"/>
      <c r="AD788" s="1992"/>
      <c r="AE788" s="1993"/>
      <c r="AF788" s="1991"/>
      <c r="AG788" s="1992"/>
      <c r="AH788" s="1992"/>
      <c r="AI788" s="1992"/>
      <c r="AJ788" s="1992"/>
      <c r="AK788" s="1993"/>
      <c r="AL788" s="854"/>
      <c r="AM788" s="631"/>
      <c r="AO788" s="852"/>
      <c r="AP788" s="852"/>
      <c r="AQ788" s="852"/>
    </row>
    <row r="789" spans="1:81">
      <c r="A789" s="855" t="s">
        <v>770</v>
      </c>
      <c r="B789" s="1945" t="s">
        <v>1478</v>
      </c>
      <c r="C789" s="1945"/>
      <c r="D789" s="1945"/>
      <c r="E789" s="1945"/>
      <c r="F789" s="1945"/>
      <c r="G789" s="1945"/>
      <c r="H789" s="1945"/>
      <c r="I789" s="1945"/>
      <c r="J789" s="1945"/>
      <c r="K789" s="1945"/>
      <c r="L789" s="1945"/>
      <c r="M789" s="1945"/>
      <c r="N789" s="1945"/>
      <c r="O789" s="1945"/>
      <c r="P789" s="1945"/>
      <c r="Q789" s="1945"/>
      <c r="R789" s="1945"/>
      <c r="S789" s="1946"/>
      <c r="T789" s="1973">
        <f>AK56</f>
        <v>0</v>
      </c>
      <c r="U789" s="1949"/>
      <c r="V789" s="1949"/>
      <c r="W789" s="1949"/>
      <c r="X789" s="1949"/>
      <c r="Y789" s="1950"/>
      <c r="Z789" s="1948">
        <v>20</v>
      </c>
      <c r="AA789" s="1949"/>
      <c r="AB789" s="1949"/>
      <c r="AC789" s="1949"/>
      <c r="AD789" s="1949"/>
      <c r="AE789" s="1950"/>
      <c r="AF789" s="1934">
        <f>IF(T789&gt;Z789,Z789,T789)</f>
        <v>0</v>
      </c>
      <c r="AG789" s="1934"/>
      <c r="AH789" s="1934"/>
      <c r="AI789" s="1934"/>
      <c r="AJ789" s="1934"/>
      <c r="AK789" s="1934"/>
      <c r="AL789" s="854"/>
      <c r="AM789" s="631"/>
      <c r="AO789" s="852"/>
      <c r="AP789" s="852"/>
      <c r="AQ789" s="852"/>
    </row>
    <row r="790" spans="1:81">
      <c r="A790" s="855" t="s">
        <v>1720</v>
      </c>
      <c r="B790" s="1945" t="s">
        <v>1487</v>
      </c>
      <c r="C790" s="1945"/>
      <c r="D790" s="1945"/>
      <c r="E790" s="1945"/>
      <c r="F790" s="1945"/>
      <c r="G790" s="1945"/>
      <c r="H790" s="1945"/>
      <c r="I790" s="1945"/>
      <c r="J790" s="1945"/>
      <c r="K790" s="1945"/>
      <c r="L790" s="1945"/>
      <c r="M790" s="1945"/>
      <c r="N790" s="1945"/>
      <c r="O790" s="1945"/>
      <c r="P790" s="1945"/>
      <c r="Q790" s="1945"/>
      <c r="R790" s="1945"/>
      <c r="S790" s="1946"/>
      <c r="T790" s="1973">
        <f>AK78</f>
        <v>10</v>
      </c>
      <c r="U790" s="1949"/>
      <c r="V790" s="1949"/>
      <c r="W790" s="1949"/>
      <c r="X790" s="1949"/>
      <c r="Y790" s="1950"/>
      <c r="Z790" s="1948">
        <v>10</v>
      </c>
      <c r="AA790" s="1949"/>
      <c r="AB790" s="1949"/>
      <c r="AC790" s="1949"/>
      <c r="AD790" s="1949"/>
      <c r="AE790" s="1950"/>
      <c r="AF790" s="1934">
        <f>IF(T790&gt;Z790,Z790,T790)</f>
        <v>10</v>
      </c>
      <c r="AG790" s="1934"/>
      <c r="AH790" s="1934"/>
      <c r="AI790" s="1934"/>
      <c r="AJ790" s="1934"/>
      <c r="AK790" s="1934"/>
      <c r="AL790" s="854"/>
      <c r="AM790" s="631"/>
      <c r="AO790" s="852"/>
      <c r="AP790" s="852"/>
      <c r="AQ790" s="852"/>
    </row>
    <row r="791" spans="1:81">
      <c r="A791" s="855" t="s">
        <v>1729</v>
      </c>
      <c r="B791" s="1945" t="s">
        <v>1497</v>
      </c>
      <c r="C791" s="1945"/>
      <c r="D791" s="1945"/>
      <c r="E791" s="1945"/>
      <c r="F791" s="1945"/>
      <c r="G791" s="1945"/>
      <c r="H791" s="1945"/>
      <c r="I791" s="1945"/>
      <c r="J791" s="1945"/>
      <c r="K791" s="1945"/>
      <c r="L791" s="1945"/>
      <c r="M791" s="1945"/>
      <c r="N791" s="1945"/>
      <c r="O791" s="1945"/>
      <c r="P791" s="1945"/>
      <c r="Q791" s="1945"/>
      <c r="R791" s="1945"/>
      <c r="S791" s="1946"/>
      <c r="T791" s="1973">
        <f ca="1">AK103</f>
        <v>20</v>
      </c>
      <c r="U791" s="1949"/>
      <c r="V791" s="1949"/>
      <c r="W791" s="1949"/>
      <c r="X791" s="1949"/>
      <c r="Y791" s="1950"/>
      <c r="Z791" s="1948">
        <v>20</v>
      </c>
      <c r="AA791" s="1949"/>
      <c r="AB791" s="1949"/>
      <c r="AC791" s="1949"/>
      <c r="AD791" s="1949"/>
      <c r="AE791" s="1950"/>
      <c r="AF791" s="1934">
        <f ca="1">IF(T791&gt;Z791,Z791,T791)</f>
        <v>20</v>
      </c>
      <c r="AG791" s="1934"/>
      <c r="AH791" s="1934"/>
      <c r="AI791" s="1934"/>
      <c r="AJ791" s="1934"/>
      <c r="AK791" s="1934"/>
      <c r="AL791" s="854"/>
      <c r="AM791" s="631"/>
      <c r="AO791" s="852"/>
      <c r="AP791" s="852"/>
      <c r="AQ791" s="852"/>
    </row>
    <row r="792" spans="1:81">
      <c r="A792" s="855" t="s">
        <v>1751</v>
      </c>
      <c r="B792" s="1945" t="s">
        <v>1507</v>
      </c>
      <c r="C792" s="1945"/>
      <c r="D792" s="1945"/>
      <c r="E792" s="1945"/>
      <c r="F792" s="1945"/>
      <c r="G792" s="1945"/>
      <c r="H792" s="1945"/>
      <c r="I792" s="1945"/>
      <c r="J792" s="1945"/>
      <c r="K792" s="1945"/>
      <c r="L792" s="1945"/>
      <c r="M792" s="1945"/>
      <c r="N792" s="1945"/>
      <c r="O792" s="1945"/>
      <c r="P792" s="1945"/>
      <c r="Q792" s="1945"/>
      <c r="R792" s="1945"/>
      <c r="S792" s="1946"/>
      <c r="T792" s="1973">
        <f>AK137</f>
        <v>10</v>
      </c>
      <c r="U792" s="1949"/>
      <c r="V792" s="1949"/>
      <c r="W792" s="1949"/>
      <c r="X792" s="1949"/>
      <c r="Y792" s="1950"/>
      <c r="Z792" s="1948">
        <v>10</v>
      </c>
      <c r="AA792" s="1949"/>
      <c r="AB792" s="1949"/>
      <c r="AC792" s="1949"/>
      <c r="AD792" s="1949"/>
      <c r="AE792" s="1950"/>
      <c r="AF792" s="1934">
        <f>IF(T792&gt;Z792,Z792,T792)</f>
        <v>10</v>
      </c>
      <c r="AG792" s="1934"/>
      <c r="AH792" s="1934"/>
      <c r="AI792" s="1934"/>
      <c r="AJ792" s="1934"/>
      <c r="AK792" s="1934"/>
      <c r="AL792" s="854"/>
      <c r="AM792" s="631"/>
      <c r="AO792" s="852"/>
      <c r="AP792" s="852"/>
      <c r="AQ792" s="852"/>
    </row>
    <row r="793" spans="1:81">
      <c r="A793" s="856" t="s">
        <v>1752</v>
      </c>
      <c r="B793" s="1945" t="s">
        <v>1753</v>
      </c>
      <c r="C793" s="1945"/>
      <c r="D793" s="1945"/>
      <c r="E793" s="1945"/>
      <c r="F793" s="1945"/>
      <c r="G793" s="1945"/>
      <c r="H793" s="1945"/>
      <c r="I793" s="1945"/>
      <c r="J793" s="1945"/>
      <c r="K793" s="1945"/>
      <c r="L793" s="1945"/>
      <c r="M793" s="1945"/>
      <c r="N793" s="1945"/>
      <c r="O793" s="1945"/>
      <c r="P793" s="1945"/>
      <c r="Q793" s="1945"/>
      <c r="R793" s="1945"/>
      <c r="S793" s="1946"/>
      <c r="T793" s="1947">
        <f>SUM(T794:Y795)</f>
        <v>10</v>
      </c>
      <c r="U793" s="1947"/>
      <c r="V793" s="1947"/>
      <c r="W793" s="1947"/>
      <c r="X793" s="1947"/>
      <c r="Y793" s="1947"/>
      <c r="Z793" s="1934">
        <v>10</v>
      </c>
      <c r="AA793" s="1934"/>
      <c r="AB793" s="1934"/>
      <c r="AC793" s="1934"/>
      <c r="AD793" s="1934"/>
      <c r="AE793" s="1934"/>
      <c r="AF793" s="1934">
        <f>IF(T793&gt;Z793,Z793,T793)</f>
        <v>10</v>
      </c>
      <c r="AG793" s="1934"/>
      <c r="AH793" s="1934"/>
      <c r="AI793" s="1934"/>
      <c r="AJ793" s="1934"/>
      <c r="AK793" s="1934"/>
      <c r="AL793" s="854"/>
      <c r="AM793" s="631"/>
    </row>
    <row r="794" spans="1:81">
      <c r="A794" s="570"/>
      <c r="B794" s="636"/>
      <c r="C794" s="1951" t="s">
        <v>1754</v>
      </c>
      <c r="D794" s="1951"/>
      <c r="E794" s="1951"/>
      <c r="F794" s="1951"/>
      <c r="G794" s="1951"/>
      <c r="H794" s="1951"/>
      <c r="I794" s="1951"/>
      <c r="J794" s="1951"/>
      <c r="K794" s="1951"/>
      <c r="L794" s="1951"/>
      <c r="M794" s="1951"/>
      <c r="N794" s="1951"/>
      <c r="O794" s="1951"/>
      <c r="P794" s="1951"/>
      <c r="Q794" s="1951"/>
      <c r="R794" s="1951"/>
      <c r="S794" s="1952"/>
      <c r="T794" s="1953">
        <f>AJ155</f>
        <v>7</v>
      </c>
      <c r="U794" s="1953"/>
      <c r="V794" s="1953"/>
      <c r="W794" s="1953"/>
      <c r="X794" s="1953"/>
      <c r="Y794" s="1953"/>
      <c r="Z794" s="1954">
        <v>7</v>
      </c>
      <c r="AA794" s="1954"/>
      <c r="AB794" s="1954"/>
      <c r="AC794" s="1954"/>
      <c r="AD794" s="1954"/>
      <c r="AE794" s="1954"/>
      <c r="AF794" s="1955"/>
      <c r="AG794" s="1955"/>
      <c r="AH794" s="1955"/>
      <c r="AI794" s="1955"/>
      <c r="AJ794" s="1955"/>
      <c r="AK794" s="1955"/>
      <c r="AL794" s="854"/>
      <c r="AM794" s="631"/>
    </row>
    <row r="795" spans="1:81">
      <c r="A795" s="635"/>
      <c r="B795" s="636"/>
      <c r="C795" s="1951" t="s">
        <v>1755</v>
      </c>
      <c r="D795" s="1951"/>
      <c r="E795" s="1951"/>
      <c r="F795" s="1951"/>
      <c r="G795" s="1951"/>
      <c r="H795" s="1951"/>
      <c r="I795" s="1951"/>
      <c r="J795" s="1951"/>
      <c r="K795" s="1951"/>
      <c r="L795" s="1951"/>
      <c r="M795" s="1951"/>
      <c r="N795" s="1951"/>
      <c r="O795" s="1951"/>
      <c r="P795" s="1951"/>
      <c r="Q795" s="1951"/>
      <c r="R795" s="1951"/>
      <c r="S795" s="1952"/>
      <c r="T795" s="1953">
        <f>AJ169</f>
        <v>3</v>
      </c>
      <c r="U795" s="1953"/>
      <c r="V795" s="1953"/>
      <c r="W795" s="1953"/>
      <c r="X795" s="1953"/>
      <c r="Y795" s="1953"/>
      <c r="Z795" s="1954">
        <v>3</v>
      </c>
      <c r="AA795" s="1954"/>
      <c r="AB795" s="1954"/>
      <c r="AC795" s="1954"/>
      <c r="AD795" s="1954"/>
      <c r="AE795" s="1954"/>
      <c r="AF795" s="1955"/>
      <c r="AG795" s="1955"/>
      <c r="AH795" s="1955"/>
      <c r="AI795" s="1955"/>
      <c r="AJ795" s="1955"/>
      <c r="AK795" s="1955"/>
      <c r="AL795" s="854"/>
      <c r="AM795" s="631"/>
      <c r="AO795" s="585"/>
    </row>
    <row r="796" spans="1:81">
      <c r="A796" s="856" t="s">
        <v>1535</v>
      </c>
      <c r="B796" s="1945" t="s">
        <v>1756</v>
      </c>
      <c r="C796" s="1945"/>
      <c r="D796" s="1945"/>
      <c r="E796" s="1945"/>
      <c r="F796" s="1945"/>
      <c r="G796" s="1945"/>
      <c r="H796" s="1945"/>
      <c r="I796" s="1945"/>
      <c r="J796" s="1945"/>
      <c r="K796" s="1945"/>
      <c r="L796" s="1945"/>
      <c r="M796" s="1945"/>
      <c r="N796" s="1945"/>
      <c r="O796" s="1945"/>
      <c r="P796" s="1945"/>
      <c r="Q796" s="1945"/>
      <c r="R796" s="1945"/>
      <c r="S796" s="1946"/>
      <c r="T796" s="1947">
        <f>AK180</f>
        <v>10</v>
      </c>
      <c r="U796" s="1947"/>
      <c r="V796" s="1947"/>
      <c r="W796" s="1947"/>
      <c r="X796" s="1947"/>
      <c r="Y796" s="1947"/>
      <c r="Z796" s="1934">
        <v>10</v>
      </c>
      <c r="AA796" s="1934"/>
      <c r="AB796" s="1934"/>
      <c r="AC796" s="1934"/>
      <c r="AD796" s="1934"/>
      <c r="AE796" s="1934"/>
      <c r="AF796" s="1934">
        <f>IF(T796&gt;Z796,Z796,T796)</f>
        <v>10</v>
      </c>
      <c r="AG796" s="1934"/>
      <c r="AH796" s="1934"/>
      <c r="AI796" s="1934"/>
      <c r="AJ796" s="1934"/>
      <c r="AK796" s="1934"/>
      <c r="AL796" s="854"/>
      <c r="AM796" s="631"/>
    </row>
    <row r="797" spans="1:81">
      <c r="A797" s="855" t="s">
        <v>1544</v>
      </c>
      <c r="B797" s="1945" t="s">
        <v>1545</v>
      </c>
      <c r="C797" s="1945"/>
      <c r="D797" s="1945"/>
      <c r="E797" s="1945"/>
      <c r="F797" s="1945"/>
      <c r="G797" s="1945"/>
      <c r="H797" s="1945"/>
      <c r="I797" s="1945"/>
      <c r="J797" s="1945"/>
      <c r="K797" s="1945"/>
      <c r="L797" s="1945"/>
      <c r="M797" s="1945"/>
      <c r="N797" s="1945"/>
      <c r="O797" s="1945"/>
      <c r="P797" s="1945"/>
      <c r="Q797" s="1945"/>
      <c r="R797" s="1945"/>
      <c r="S797" s="1946"/>
      <c r="T797" s="1947">
        <f>AK262</f>
        <v>8</v>
      </c>
      <c r="U797" s="1947"/>
      <c r="V797" s="1947"/>
      <c r="W797" s="1947"/>
      <c r="X797" s="1947"/>
      <c r="Y797" s="1947"/>
      <c r="Z797" s="1948">
        <v>8</v>
      </c>
      <c r="AA797" s="1949"/>
      <c r="AB797" s="1949"/>
      <c r="AC797" s="1949"/>
      <c r="AD797" s="1949"/>
      <c r="AE797" s="1950"/>
      <c r="AF797" s="1934">
        <f>IF(T797&gt;Z797,Z797,T797)</f>
        <v>8</v>
      </c>
      <c r="AG797" s="1934"/>
      <c r="AH797" s="1934"/>
      <c r="AI797" s="1934"/>
      <c r="AJ797" s="1934"/>
      <c r="AK797" s="1934"/>
      <c r="AL797" s="854"/>
      <c r="AM797" s="631"/>
    </row>
    <row r="798" spans="1:81" s="569" customFormat="1" hidden="1">
      <c r="A798" s="856" t="s">
        <v>599</v>
      </c>
      <c r="B798" s="1945" t="s">
        <v>1757</v>
      </c>
      <c r="C798" s="1945"/>
      <c r="D798" s="1945"/>
      <c r="E798" s="1945"/>
      <c r="F798" s="1945"/>
      <c r="G798" s="1945"/>
      <c r="H798" s="1945"/>
      <c r="I798" s="1945"/>
      <c r="J798" s="1945"/>
      <c r="K798" s="1945"/>
      <c r="L798" s="1945"/>
      <c r="M798" s="1945"/>
      <c r="N798" s="1945"/>
      <c r="O798" s="1945"/>
      <c r="P798" s="1945"/>
      <c r="Q798" s="1945"/>
      <c r="R798" s="1945"/>
      <c r="S798" s="1946"/>
      <c r="T798" s="1947">
        <f>IF(AK524&gt;5,5,AK524)</f>
        <v>0</v>
      </c>
      <c r="U798" s="1947"/>
      <c r="V798" s="1947"/>
      <c r="W798" s="1947"/>
      <c r="X798" s="1947"/>
      <c r="Y798" s="1947"/>
      <c r="Z798" s="1934">
        <v>5</v>
      </c>
      <c r="AA798" s="1934"/>
      <c r="AB798" s="1934"/>
      <c r="AC798" s="1934"/>
      <c r="AD798" s="1934"/>
      <c r="AE798" s="1934"/>
      <c r="AF798" s="1934">
        <f>IF(T798&gt;Z798,5,T798)</f>
        <v>0</v>
      </c>
      <c r="AG798" s="1934"/>
      <c r="AH798" s="1934"/>
      <c r="AI798" s="1934"/>
      <c r="AJ798" s="1934"/>
      <c r="AK798" s="193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45" t="s">
        <v>1758</v>
      </c>
      <c r="C799" s="1945"/>
      <c r="D799" s="1945"/>
      <c r="E799" s="1945"/>
      <c r="F799" s="1945"/>
      <c r="G799" s="1945"/>
      <c r="H799" s="1945"/>
      <c r="I799" s="1945"/>
      <c r="J799" s="1945"/>
      <c r="K799" s="1945"/>
      <c r="L799" s="1945"/>
      <c r="M799" s="1945"/>
      <c r="N799" s="1945"/>
      <c r="O799" s="1945"/>
      <c r="P799" s="1945"/>
      <c r="Q799" s="1945"/>
      <c r="R799" s="1945"/>
      <c r="S799" s="1946"/>
      <c r="T799" s="1947">
        <f>AK274</f>
        <v>10</v>
      </c>
      <c r="U799" s="1947"/>
      <c r="V799" s="1947"/>
      <c r="W799" s="1947"/>
      <c r="X799" s="1947"/>
      <c r="Y799" s="1947"/>
      <c r="Z799" s="1934">
        <v>10</v>
      </c>
      <c r="AA799" s="1934"/>
      <c r="AB799" s="1934"/>
      <c r="AC799" s="1934"/>
      <c r="AD799" s="1934"/>
      <c r="AE799" s="1934"/>
      <c r="AF799" s="1956">
        <f>IF(T799&gt;Z799,Z799,T799)</f>
        <v>10</v>
      </c>
      <c r="AG799" s="1957"/>
      <c r="AH799" s="1957"/>
      <c r="AI799" s="1957"/>
      <c r="AJ799" s="1957"/>
      <c r="AK799" s="195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45" t="s">
        <v>1555</v>
      </c>
      <c r="C800" s="1945"/>
      <c r="D800" s="1945"/>
      <c r="E800" s="1945"/>
      <c r="F800" s="1945"/>
      <c r="G800" s="1945"/>
      <c r="H800" s="1945"/>
      <c r="I800" s="1945"/>
      <c r="J800" s="1945"/>
      <c r="K800" s="1945"/>
      <c r="L800" s="1945"/>
      <c r="M800" s="1945"/>
      <c r="N800" s="1945"/>
      <c r="O800" s="1945"/>
      <c r="P800" s="1945"/>
      <c r="Q800" s="1945"/>
      <c r="R800" s="1945"/>
      <c r="S800" s="1946"/>
      <c r="T800" s="1947">
        <f>AK327</f>
        <v>9</v>
      </c>
      <c r="U800" s="1947"/>
      <c r="V800" s="1947"/>
      <c r="W800" s="1947"/>
      <c r="X800" s="1947"/>
      <c r="Y800" s="1947"/>
      <c r="Z800" s="1956">
        <v>10</v>
      </c>
      <c r="AA800" s="1957"/>
      <c r="AB800" s="1957"/>
      <c r="AC800" s="1957"/>
      <c r="AD800" s="1957"/>
      <c r="AE800" s="1958"/>
      <c r="AF800" s="1956">
        <f>IF(T800&gt;Z800,Z800,T800)</f>
        <v>9</v>
      </c>
      <c r="AG800" s="1957"/>
      <c r="AH800" s="1957"/>
      <c r="AI800" s="1957"/>
      <c r="AJ800" s="1957"/>
      <c r="AK800" s="195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53">
        <f>AK327</f>
        <v>9</v>
      </c>
      <c r="U801" s="1953"/>
      <c r="V801" s="1953"/>
      <c r="W801" s="1953"/>
      <c r="X801" s="1953"/>
      <c r="Y801" s="1953"/>
      <c r="Z801" s="1921">
        <v>20</v>
      </c>
      <c r="AA801" s="1922"/>
      <c r="AB801" s="1922"/>
      <c r="AC801" s="1922"/>
      <c r="AD801" s="1922"/>
      <c r="AE801" s="1923"/>
      <c r="AF801" s="1955"/>
      <c r="AG801" s="1955"/>
      <c r="AH801" s="1955"/>
      <c r="AI801" s="1955"/>
      <c r="AJ801" s="1955"/>
      <c r="AK801" s="195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45" t="s">
        <v>874</v>
      </c>
      <c r="C802" s="1945"/>
      <c r="D802" s="1945"/>
      <c r="E802" s="1945"/>
      <c r="F802" s="1945"/>
      <c r="G802" s="1945"/>
      <c r="H802" s="1945"/>
      <c r="I802" s="1945"/>
      <c r="J802" s="1945"/>
      <c r="K802" s="1945"/>
      <c r="L802" s="1945"/>
      <c r="M802" s="1945"/>
      <c r="N802" s="1945"/>
      <c r="O802" s="1945"/>
      <c r="P802" s="1945"/>
      <c r="Q802" s="1945"/>
      <c r="R802" s="1945"/>
      <c r="S802" s="1946"/>
      <c r="T802" s="1947">
        <f>AK458</f>
        <v>10</v>
      </c>
      <c r="U802" s="1947"/>
      <c r="V802" s="1947"/>
      <c r="W802" s="1947"/>
      <c r="X802" s="1947"/>
      <c r="Y802" s="1947"/>
      <c r="Z802" s="1956">
        <v>10</v>
      </c>
      <c r="AA802" s="1957"/>
      <c r="AB802" s="1957"/>
      <c r="AC802" s="1957"/>
      <c r="AD802" s="1957"/>
      <c r="AE802" s="1958"/>
      <c r="AF802" s="1934">
        <f>IF(T802&gt;Z802,Z802,T802)</f>
        <v>10</v>
      </c>
      <c r="AG802" s="1934"/>
      <c r="AH802" s="1934"/>
      <c r="AI802" s="1934"/>
      <c r="AJ802" s="1934"/>
      <c r="AK802" s="193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45" t="s">
        <v>1738</v>
      </c>
      <c r="C803" s="1945"/>
      <c r="D803" s="1945"/>
      <c r="E803" s="1945"/>
      <c r="F803" s="1945"/>
      <c r="G803" s="1945"/>
      <c r="H803" s="1945"/>
      <c r="I803" s="1945"/>
      <c r="J803" s="1945"/>
      <c r="K803" s="1945"/>
      <c r="L803" s="1945"/>
      <c r="M803" s="1945"/>
      <c r="N803" s="1945"/>
      <c r="O803" s="1945"/>
      <c r="P803" s="1945"/>
      <c r="Q803" s="1945"/>
      <c r="R803" s="1945"/>
      <c r="S803" s="1946"/>
      <c r="T803" s="1947">
        <f>AK548</f>
        <v>12</v>
      </c>
      <c r="U803" s="1947"/>
      <c r="V803" s="1947"/>
      <c r="W803" s="1947"/>
      <c r="X803" s="1947"/>
      <c r="Y803" s="1947"/>
      <c r="Z803" s="1956">
        <v>12</v>
      </c>
      <c r="AA803" s="1957"/>
      <c r="AB803" s="1957"/>
      <c r="AC803" s="1957"/>
      <c r="AD803" s="1957"/>
      <c r="AE803" s="1958"/>
      <c r="AF803" s="1934">
        <f>IF(T803&gt;Z803,Z803,T803)</f>
        <v>12</v>
      </c>
      <c r="AG803" s="1934"/>
      <c r="AH803" s="1934"/>
      <c r="AI803" s="1934"/>
      <c r="AJ803" s="1934"/>
      <c r="AK803" s="193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2415</v>
      </c>
      <c r="B804" s="1945" t="s">
        <v>1760</v>
      </c>
      <c r="C804" s="1945"/>
      <c r="D804" s="1945"/>
      <c r="E804" s="1945"/>
      <c r="F804" s="1945"/>
      <c r="G804" s="1945"/>
      <c r="H804" s="1945"/>
      <c r="I804" s="1945"/>
      <c r="J804" s="1945"/>
      <c r="K804" s="1945"/>
      <c r="L804" s="1945"/>
      <c r="M804" s="1945"/>
      <c r="N804" s="1945"/>
      <c r="O804" s="1945"/>
      <c r="P804" s="1945"/>
      <c r="Q804" s="1945"/>
      <c r="R804" s="1945"/>
      <c r="S804" s="1946"/>
      <c r="T804" s="1947">
        <f>AK779</f>
        <v>10</v>
      </c>
      <c r="U804" s="1947"/>
      <c r="V804" s="1947"/>
      <c r="W804" s="1947"/>
      <c r="X804" s="1947"/>
      <c r="Y804" s="1947"/>
      <c r="Z804" s="1956">
        <v>10</v>
      </c>
      <c r="AA804" s="1957"/>
      <c r="AB804" s="1957"/>
      <c r="AC804" s="1957"/>
      <c r="AD804" s="1957"/>
      <c r="AE804" s="1958"/>
      <c r="AF804" s="1934">
        <f>IF(T804&gt;Z804,Z804,T804)</f>
        <v>10</v>
      </c>
      <c r="AG804" s="1934"/>
      <c r="AH804" s="1934"/>
      <c r="AI804" s="1934"/>
      <c r="AJ804" s="1934"/>
      <c r="AK804" s="193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59" t="s">
        <v>1761</v>
      </c>
      <c r="B805" s="1945"/>
      <c r="C805" s="1945"/>
      <c r="D805" s="1945"/>
      <c r="E805" s="1945"/>
      <c r="F805" s="1945"/>
      <c r="G805" s="1945"/>
      <c r="H805" s="1945"/>
      <c r="I805" s="1945"/>
      <c r="J805" s="1945"/>
      <c r="K805" s="1945"/>
      <c r="L805" s="1945"/>
      <c r="M805" s="1945"/>
      <c r="N805" s="1945"/>
      <c r="O805" s="1945"/>
      <c r="P805" s="1945"/>
      <c r="Q805" s="1945"/>
      <c r="R805" s="1945"/>
      <c r="S805" s="1946"/>
      <c r="T805" s="1960"/>
      <c r="U805" s="1960"/>
      <c r="V805" s="1960"/>
      <c r="W805" s="1960"/>
      <c r="X805" s="1960"/>
      <c r="Y805" s="1960"/>
      <c r="Z805" s="1954" t="s">
        <v>1762</v>
      </c>
      <c r="AA805" s="1954"/>
      <c r="AB805" s="1954"/>
      <c r="AC805" s="1954"/>
      <c r="AD805" s="1954"/>
      <c r="AE805" s="1954"/>
      <c r="AF805" s="1956">
        <f>IF(T805&gt;0,T805,0)</f>
        <v>0</v>
      </c>
      <c r="AG805" s="1957"/>
      <c r="AH805" s="1957"/>
      <c r="AI805" s="1957"/>
      <c r="AJ805" s="1957"/>
      <c r="AK805" s="195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61" t="s">
        <v>1763</v>
      </c>
      <c r="B806" s="1962"/>
      <c r="C806" s="1962"/>
      <c r="D806" s="1962"/>
      <c r="E806" s="1962"/>
      <c r="F806" s="1962"/>
      <c r="G806" s="1962"/>
      <c r="H806" s="1962"/>
      <c r="I806" s="1962"/>
      <c r="J806" s="1962"/>
      <c r="K806" s="1962"/>
      <c r="L806" s="1962"/>
      <c r="M806" s="1962"/>
      <c r="N806" s="1962"/>
      <c r="O806" s="1962"/>
      <c r="P806" s="1962"/>
      <c r="Q806" s="1962"/>
      <c r="R806" s="1962"/>
      <c r="S806" s="1962"/>
      <c r="T806" s="1962"/>
      <c r="U806" s="1962"/>
      <c r="V806" s="1962"/>
      <c r="W806" s="1962"/>
      <c r="X806" s="1962"/>
      <c r="Y806" s="1962"/>
      <c r="Z806" s="1962"/>
      <c r="AA806" s="1962"/>
      <c r="AB806" s="1962"/>
      <c r="AC806" s="1962"/>
      <c r="AD806" s="1962"/>
      <c r="AE806" s="1963"/>
      <c r="AF806" s="1967">
        <f ca="1">SUM(AF789:AK804)-AF805</f>
        <v>119</v>
      </c>
      <c r="AG806" s="1968"/>
      <c r="AH806" s="1968"/>
      <c r="AI806" s="1968"/>
      <c r="AJ806" s="1968"/>
      <c r="AK806" s="196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64"/>
      <c r="B807" s="1965"/>
      <c r="C807" s="1965"/>
      <c r="D807" s="1965"/>
      <c r="E807" s="1965"/>
      <c r="F807" s="1965"/>
      <c r="G807" s="1965"/>
      <c r="H807" s="1965"/>
      <c r="I807" s="1965"/>
      <c r="J807" s="1965"/>
      <c r="K807" s="1965"/>
      <c r="L807" s="1965"/>
      <c r="M807" s="1965"/>
      <c r="N807" s="1965"/>
      <c r="O807" s="1965"/>
      <c r="P807" s="1965"/>
      <c r="Q807" s="1965"/>
      <c r="R807" s="1965"/>
      <c r="S807" s="1965"/>
      <c r="T807" s="1965"/>
      <c r="U807" s="1965"/>
      <c r="V807" s="1965"/>
      <c r="W807" s="1965"/>
      <c r="X807" s="1965"/>
      <c r="Y807" s="1965"/>
      <c r="Z807" s="1965"/>
      <c r="AA807" s="1965"/>
      <c r="AB807" s="1965"/>
      <c r="AC807" s="1965"/>
      <c r="AD807" s="1965"/>
      <c r="AE807" s="1966"/>
      <c r="AF807" s="1970"/>
      <c r="AG807" s="1971"/>
      <c r="AH807" s="1971"/>
      <c r="AI807" s="1971"/>
      <c r="AJ807" s="1971"/>
      <c r="AK807" s="197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K34" sqref="K33:K34"/>
    </sheetView>
  </sheetViews>
  <sheetFormatPr defaultColWidth="9.140625" defaultRowHeight="14.25"/>
  <cols>
    <col min="1" max="1" width="2.42578125" style="1085" customWidth="1"/>
    <col min="2" max="9" width="14.7109375" style="1085" customWidth="1"/>
    <col min="10" max="10" width="2.28515625" style="1085" customWidth="1"/>
    <col min="11" max="11" width="11.85546875" style="1086" customWidth="1"/>
    <col min="12" max="12" width="10.7109375" style="1085" customWidth="1"/>
    <col min="13" max="13" width="10.42578125" style="1085" customWidth="1"/>
    <col min="14" max="14" width="10.85546875" style="1085" customWidth="1"/>
    <col min="15" max="16384" width="9.140625" style="1085"/>
  </cols>
  <sheetData>
    <row r="1" spans="1:13" ht="30" customHeight="1">
      <c r="A1" s="2143" t="s">
        <v>1764</v>
      </c>
      <c r="B1" s="2143"/>
      <c r="C1" s="2143"/>
      <c r="D1" s="2143"/>
      <c r="E1" s="2143"/>
      <c r="F1" s="2143"/>
      <c r="G1" s="2143"/>
      <c r="H1" s="2143"/>
      <c r="I1" s="2143"/>
      <c r="J1" s="2143"/>
    </row>
    <row r="2" spans="1:13" ht="15" customHeight="1" thickBot="1">
      <c r="A2" s="1087"/>
      <c r="B2" s="1087"/>
      <c r="I2" s="1088"/>
      <c r="K2" s="1089"/>
    </row>
    <row r="3" spans="1:13" s="1092" customFormat="1" ht="20.100000000000001" customHeight="1">
      <c r="A3" s="1146"/>
      <c r="B3" s="1147"/>
      <c r="C3" s="1148"/>
      <c r="D3" s="1153"/>
      <c r="E3" s="1148"/>
      <c r="F3" s="1149" t="s">
        <v>2380</v>
      </c>
      <c r="G3" s="1148"/>
      <c r="H3" s="1150">
        <f>E16</f>
        <v>43486324</v>
      </c>
      <c r="I3" s="1151"/>
    </row>
    <row r="4" spans="1:13" s="1092" customFormat="1" ht="20.100000000000001" customHeight="1">
      <c r="B4" s="1140"/>
      <c r="D4" s="1154"/>
      <c r="F4" s="1138" t="s">
        <v>2382</v>
      </c>
      <c r="G4" s="1137" t="s">
        <v>2381</v>
      </c>
      <c r="H4" s="1139">
        <f>I16</f>
        <v>45362659.334558822</v>
      </c>
      <c r="I4" s="1141"/>
      <c r="K4" s="1096"/>
    </row>
    <row r="5" spans="1:13" s="1092" customFormat="1" ht="20.100000000000001" customHeight="1" thickBot="1">
      <c r="B5" s="1142"/>
      <c r="C5" s="1143"/>
      <c r="D5" s="1155"/>
      <c r="E5" s="1144"/>
      <c r="F5" s="1155" t="s">
        <v>2322</v>
      </c>
      <c r="G5" s="1156"/>
      <c r="H5" s="1152">
        <f>H3/H4</f>
        <v>0.95863700757223103</v>
      </c>
      <c r="I5" s="1145"/>
      <c r="K5" s="1096"/>
    </row>
    <row r="6" spans="1:13" s="1092" customFormat="1" ht="15" customHeight="1">
      <c r="B6" s="1093"/>
      <c r="C6" s="1094"/>
      <c r="F6" s="1095"/>
      <c r="K6" s="1096"/>
    </row>
    <row r="7" spans="1:13" s="1092" customFormat="1" ht="15" customHeight="1">
      <c r="E7" s="1097"/>
      <c r="F7" s="1095"/>
      <c r="K7" s="1098"/>
    </row>
    <row r="8" spans="1:13" s="1092" customFormat="1" ht="15" customHeight="1">
      <c r="A8" s="1099"/>
      <c r="B8" s="2144" t="s">
        <v>2320</v>
      </c>
      <c r="C8" s="2145"/>
      <c r="D8" s="2145"/>
      <c r="E8" s="2146"/>
      <c r="G8" s="2147" t="s">
        <v>2321</v>
      </c>
      <c r="H8" s="2148"/>
      <c r="I8" s="2149"/>
      <c r="K8" s="1098"/>
    </row>
    <row r="9" spans="1:13" ht="15" customHeight="1">
      <c r="A9" s="1087"/>
      <c r="B9" s="2138" t="s">
        <v>2359</v>
      </c>
      <c r="C9" s="2138"/>
      <c r="D9" s="2138"/>
      <c r="E9" s="1100">
        <f>G31</f>
        <v>12412500</v>
      </c>
      <c r="G9" s="2141" t="s">
        <v>2357</v>
      </c>
      <c r="H9" s="2141"/>
      <c r="I9" s="1101">
        <f>Application!AM550</f>
        <v>35000000</v>
      </c>
      <c r="K9" s="1102"/>
      <c r="M9" s="1103"/>
    </row>
    <row r="10" spans="1:13" ht="15" customHeight="1" thickBot="1">
      <c r="A10" s="1087"/>
      <c r="B10" s="2138" t="s">
        <v>2360</v>
      </c>
      <c r="C10" s="2138"/>
      <c r="D10" s="2138"/>
      <c r="E10" s="1101">
        <f>G40</f>
        <v>19750824.000000004</v>
      </c>
      <c r="G10" s="2141" t="s">
        <v>2323</v>
      </c>
      <c r="H10" s="2141"/>
      <c r="I10" s="1188">
        <f>'Basis &amp; Credits'!AB77</f>
        <v>13302649</v>
      </c>
      <c r="M10" s="1103"/>
    </row>
    <row r="11" spans="1:13" ht="15" customHeight="1">
      <c r="A11" s="1104"/>
      <c r="B11" s="2138" t="s">
        <v>2361</v>
      </c>
      <c r="C11" s="2138"/>
      <c r="D11" s="2138"/>
      <c r="E11" s="1101">
        <f>G49</f>
        <v>0</v>
      </c>
      <c r="G11" s="2141" t="s">
        <v>2372</v>
      </c>
      <c r="H11" s="2141"/>
      <c r="I11" s="1187">
        <f>I9+I10</f>
        <v>48302649</v>
      </c>
      <c r="M11" s="1103"/>
    </row>
    <row r="12" spans="1:13" ht="15" customHeight="1">
      <c r="A12" s="1090"/>
      <c r="B12" s="2138" t="s">
        <v>2362</v>
      </c>
      <c r="C12" s="2138"/>
      <c r="D12" s="2138"/>
      <c r="E12" s="1101">
        <f>G58</f>
        <v>400000</v>
      </c>
      <c r="G12" s="1189" t="s">
        <v>2397</v>
      </c>
      <c r="H12" s="1190"/>
      <c r="M12" s="1103"/>
    </row>
    <row r="13" spans="1:13" ht="15" customHeight="1">
      <c r="A13" s="1087"/>
      <c r="B13" s="2138" t="s">
        <v>2363</v>
      </c>
      <c r="C13" s="2138"/>
      <c r="D13" s="2138"/>
      <c r="E13" s="1106">
        <f>G83</f>
        <v>5958000</v>
      </c>
      <c r="G13" s="2142" t="s">
        <v>140</v>
      </c>
      <c r="H13" s="2142"/>
      <c r="I13" s="1105">
        <f>15%*(Application!AJ963&gt;0)</f>
        <v>0</v>
      </c>
      <c r="M13" s="1103"/>
    </row>
    <row r="14" spans="1:13" ht="15" customHeight="1">
      <c r="A14" s="1087"/>
      <c r="B14" s="2138" t="s">
        <v>2364</v>
      </c>
      <c r="C14" s="2138"/>
      <c r="D14" s="2138"/>
      <c r="E14" s="1101">
        <f>IF(G96&gt;G106,G96,0)</f>
        <v>0</v>
      </c>
      <c r="G14" s="1185" t="s">
        <v>2373</v>
      </c>
      <c r="H14" s="1185"/>
      <c r="I14" s="1105">
        <f>IF(Application!AJ997&gt;0,10%,IF(Application!AJ1001&gt;0,5%,0))</f>
        <v>0</v>
      </c>
      <c r="M14" s="1103"/>
    </row>
    <row r="15" spans="1:13" ht="15" customHeight="1" thickBot="1">
      <c r="A15" s="1087"/>
      <c r="B15" s="2139" t="s">
        <v>2383</v>
      </c>
      <c r="C15" s="2139"/>
      <c r="D15" s="2139"/>
      <c r="E15" s="1157">
        <f>IF(E14&gt;0,0,G106)</f>
        <v>4965000</v>
      </c>
      <c r="G15" s="2136" t="s">
        <v>2374</v>
      </c>
      <c r="H15" s="2137"/>
      <c r="I15" s="1159">
        <f>G114</f>
        <v>6.0866013071895424E-2</v>
      </c>
      <c r="M15" s="1103"/>
    </row>
    <row r="16" spans="1:13" ht="15" customHeight="1">
      <c r="A16" s="1087"/>
      <c r="B16" s="2140" t="s">
        <v>2319</v>
      </c>
      <c r="C16" s="2140"/>
      <c r="D16" s="2140"/>
      <c r="E16" s="1158">
        <f>SUM(E9:E15)</f>
        <v>43486324</v>
      </c>
      <c r="G16" s="1186" t="s">
        <v>2358</v>
      </c>
      <c r="H16" s="1186"/>
      <c r="I16" s="1160">
        <f>I11-((I11*I13)+(I11*I14)+(I11*I15))</f>
        <v>45362659.334558822</v>
      </c>
    </row>
    <row r="17" spans="1:20" ht="15" customHeight="1">
      <c r="A17" s="1087"/>
      <c r="B17" s="1087"/>
      <c r="E17" s="1107"/>
      <c r="H17" s="1108"/>
      <c r="I17" s="1109"/>
    </row>
    <row r="18" spans="1:20" ht="15" customHeight="1">
      <c r="B18" s="1110" t="str">
        <f>B9</f>
        <v>A. Unit Production Benefit</v>
      </c>
      <c r="C18" s="1111"/>
      <c r="D18" s="1111"/>
      <c r="E18" s="1111"/>
      <c r="F18" s="1111"/>
      <c r="G18" s="1111"/>
      <c r="H18" s="1111"/>
      <c r="I18" s="1112"/>
      <c r="M18" s="1107">
        <f>SUM(Cdlac[Quantity])</f>
        <v>195</v>
      </c>
      <c r="O18" s="1130" t="s">
        <v>592</v>
      </c>
      <c r="P18" s="1085">
        <f>MATCH(Application!T189,Application!BP656:BP713,0)</f>
        <v>19</v>
      </c>
      <c r="S18" s="1107">
        <f>SUM(Cdlac[Population])</f>
        <v>0</v>
      </c>
    </row>
    <row r="19" spans="1:20" ht="15" customHeight="1">
      <c r="A19" s="1087"/>
      <c r="B19" s="1087"/>
      <c r="I19" s="1113"/>
      <c r="L19" s="1085" t="s">
        <v>2315</v>
      </c>
      <c r="M19" s="1085" t="s">
        <v>2314</v>
      </c>
      <c r="N19" s="1085" t="s">
        <v>2328</v>
      </c>
      <c r="O19" s="1085" t="s">
        <v>2329</v>
      </c>
      <c r="P19" s="1085" t="s">
        <v>2316</v>
      </c>
      <c r="Q19" s="1085" t="s">
        <v>2317</v>
      </c>
      <c r="R19" s="1085" t="s">
        <v>2330</v>
      </c>
      <c r="S19" s="1085" t="s">
        <v>2336</v>
      </c>
      <c r="T19" s="1085" t="s">
        <v>387</v>
      </c>
    </row>
    <row r="20" spans="1:20" ht="15" customHeight="1">
      <c r="A20" s="1090"/>
      <c r="C20" s="2134" t="s">
        <v>2376</v>
      </c>
      <c r="D20" s="2134" t="s">
        <v>2377</v>
      </c>
      <c r="E20" s="2134" t="s">
        <v>2378</v>
      </c>
      <c r="F20" s="2134" t="s">
        <v>2379</v>
      </c>
      <c r="G20" s="2134" t="s">
        <v>2375</v>
      </c>
      <c r="H20" s="1114"/>
      <c r="I20" s="1113"/>
      <c r="L20" s="1085">
        <f>IFERROR(MIN(4,MATCH(Application!B714,UnitSizes,0)-1),"")</f>
        <v>1</v>
      </c>
      <c r="M20" s="1107">
        <f>Application!G714</f>
        <v>6</v>
      </c>
      <c r="N20" s="1115">
        <f>Application!AC714</f>
        <v>0.3</v>
      </c>
      <c r="O20" s="1115">
        <f>IF(Cdlac[[#This Row],[Quantity]]&gt;0,IF(Cdlac[[#This Row],[Federal]],30%,IF($G$36,40%,Cdlac[[#This Row],[iAMI]])),"")</f>
        <v>0.3</v>
      </c>
      <c r="P20" s="1107" cm="1">
        <f t="array" ref="P20">IF(Cdlac[[#This Row],[Quantity]]&gt;0,INDEX(TcacRents,$P$18,Cdlac[[#This Row],[Bedrooms]]+1)*Cdlac[[#This Row],[AMI]],"")</f>
        <v>669.6</v>
      </c>
      <c r="Q20" s="1107" cm="1">
        <f t="array" ref="Q20">IF(Cdlac[[#This Row],[Quantity]]&gt;0,INDEX(HudFmrs,$P$18,Cdlac[[#This Row],[Bedrooms]]+1),"")</f>
        <v>1604</v>
      </c>
      <c r="R20" s="1107">
        <f>IF(Cdlac[[#This Row],[Quantity]]&gt;0,MAX(0,Cdlac[[#This Row],[Fair Market Rent]]-Cdlac[[#This Row],[Restricted Rent]]),"")</f>
        <v>934.4</v>
      </c>
      <c r="S20" s="1085">
        <f>IF(Cdlac[[#This Row],[Quantity]]&gt;0,AND(Application!AK714&lt;&gt;"N/A",Application!AK714&lt;&gt;"")*Cdlac[[#This Row],[Quantity]],"")</f>
        <v>0</v>
      </c>
      <c r="T20" s="1085" t="b">
        <f>AND('Subsidy Contract Calculation'!F4&gt;0,'Subsidy Contract Calculation'!C4="Federal",Cdlac[[#This Row],[Quantity]]&gt;0)</f>
        <v>0</v>
      </c>
    </row>
    <row r="21" spans="1:20" ht="15" customHeight="1">
      <c r="A21" s="1090"/>
      <c r="C21" s="2135"/>
      <c r="D21" s="2135"/>
      <c r="E21" s="2135"/>
      <c r="F21" s="2135"/>
      <c r="G21" s="2135"/>
      <c r="H21" s="1114"/>
      <c r="I21" s="1113"/>
      <c r="L21" s="1085">
        <f>IFERROR(MIN(4,MATCH(Application!B715,UnitSizes,0)-1),"")</f>
        <v>1</v>
      </c>
      <c r="M21" s="1107">
        <f>Application!G715</f>
        <v>4</v>
      </c>
      <c r="N21" s="1115">
        <f>Application!AC715</f>
        <v>0.5</v>
      </c>
      <c r="O21" s="1115">
        <f>IF(Cdlac[[#This Row],[Quantity]]&gt;0,IF(Cdlac[[#This Row],[Federal]],30%,IF($G$36,40%,Cdlac[[#This Row],[iAMI]])),"")</f>
        <v>0.5</v>
      </c>
      <c r="P21" s="1107" cm="1">
        <f t="array" ref="P21">IF(Cdlac[[#This Row],[Quantity]]&gt;0,INDEX(TcacRents,$P$18,Cdlac[[#This Row],[Bedrooms]]+1)*Cdlac[[#This Row],[AMI]],"")</f>
        <v>1116</v>
      </c>
      <c r="Q21" s="1107" cm="1">
        <f t="array" ref="Q21">IF(Cdlac[[#This Row],[Quantity]]&gt;0,INDEX(HudFmrs,$P$18,Cdlac[[#This Row],[Bedrooms]]+1),"")</f>
        <v>1604</v>
      </c>
      <c r="R21" s="1107">
        <f>IF(Cdlac[[#This Row],[Quantity]]&gt;0,MAX(0,Cdlac[[#This Row],[Fair Market Rent]]-Cdlac[[#This Row],[Restricted Rent]]),"")</f>
        <v>488</v>
      </c>
      <c r="S21" s="1085">
        <f>IF(Cdlac[[#This Row],[Quantity]]&gt;0,AND(Application!AK715&lt;&gt;"N/A",Application!AK715&lt;&gt;"")*Cdlac[[#This Row],[Quantity]],"")</f>
        <v>0</v>
      </c>
      <c r="T21" s="1085" t="b">
        <f>AND('Subsidy Contract Calculation'!F5&gt;0,'Subsidy Contract Calculation'!C5="Federal",Cdlac[[#This Row],[Quantity]]&gt;0)</f>
        <v>0</v>
      </c>
    </row>
    <row r="22" spans="1:20" ht="15" customHeight="1">
      <c r="C22" s="1116">
        <v>0</v>
      </c>
      <c r="D22" s="1117">
        <v>0.9</v>
      </c>
      <c r="E22" s="1116">
        <f>SUMIFS(Cdlac[Quantity],Cdlac[Bedrooms],C22)</f>
        <v>0</v>
      </c>
      <c r="F22" s="1116">
        <f>E22</f>
        <v>0</v>
      </c>
      <c r="G22" s="1116">
        <f>D22*F22</f>
        <v>0</v>
      </c>
      <c r="L22" s="1085">
        <f>IFERROR(MIN(4,MATCH(Application!B716,UnitSizes,0)-1),"")</f>
        <v>1</v>
      </c>
      <c r="M22" s="1107">
        <f>Application!G716</f>
        <v>11</v>
      </c>
      <c r="N22" s="1115">
        <f>Application!AC716</f>
        <v>0.6</v>
      </c>
      <c r="O22" s="1115">
        <f>IF(Cdlac[[#This Row],[Quantity]]&gt;0,IF(Cdlac[[#This Row],[Federal]],30%,IF($G$36,40%,Cdlac[[#This Row],[iAMI]])),"")</f>
        <v>0.6</v>
      </c>
      <c r="P22" s="1107" cm="1">
        <f t="array" ref="P22">IF(Cdlac[[#This Row],[Quantity]]&gt;0,INDEX(TcacRents,$P$18,Cdlac[[#This Row],[Bedrooms]]+1)*Cdlac[[#This Row],[AMI]],"")</f>
        <v>1339.2</v>
      </c>
      <c r="Q22" s="1107" cm="1">
        <f t="array" ref="Q22">IF(Cdlac[[#This Row],[Quantity]]&gt;0,INDEX(HudFmrs,$P$18,Cdlac[[#This Row],[Bedrooms]]+1),"")</f>
        <v>1604</v>
      </c>
      <c r="R22" s="1107">
        <f>IF(Cdlac[[#This Row],[Quantity]]&gt;0,MAX(0,Cdlac[[#This Row],[Fair Market Rent]]-Cdlac[[#This Row],[Restricted Rent]]),"")</f>
        <v>264.79999999999995</v>
      </c>
      <c r="S22" s="1085">
        <f>IF(Cdlac[[#This Row],[Quantity]]&gt;0,AND(Application!AK716&lt;&gt;"N/A",Application!AK716&lt;&gt;"")*Cdlac[[#This Row],[Quantity]],"")</f>
        <v>0</v>
      </c>
      <c r="T22" s="1085" t="b">
        <f>AND('Subsidy Contract Calculation'!F6&gt;0,'Subsidy Contract Calculation'!C6="Federal",Cdlac[[#This Row],[Quantity]]&gt;0)</f>
        <v>0</v>
      </c>
    </row>
    <row r="23" spans="1:20" ht="15" customHeight="1">
      <c r="C23" s="1116">
        <v>1</v>
      </c>
      <c r="D23" s="1117">
        <v>1</v>
      </c>
      <c r="E23" s="1116">
        <f>SUMIFS(Cdlac[Quantity],Cdlac[Bedrooms],C23)</f>
        <v>40</v>
      </c>
      <c r="F23" s="1116">
        <f>E23</f>
        <v>40</v>
      </c>
      <c r="G23" s="1116">
        <f>D23*F23</f>
        <v>40</v>
      </c>
      <c r="L23" s="1085">
        <f>IFERROR(MIN(4,MATCH(Application!B717,UnitSizes,0)-1),"")</f>
        <v>1</v>
      </c>
      <c r="M23" s="1107">
        <f>Application!G717</f>
        <v>19</v>
      </c>
      <c r="N23" s="1115">
        <f>Application!AC717</f>
        <v>0.7</v>
      </c>
      <c r="O23" s="1115">
        <f>IF(Cdlac[[#This Row],[Quantity]]&gt;0,IF(Cdlac[[#This Row],[Federal]],30%,IF($G$36,40%,Cdlac[[#This Row],[iAMI]])),"")</f>
        <v>0.7</v>
      </c>
      <c r="P23" s="1107" cm="1">
        <f t="array" ref="P23">IF(Cdlac[[#This Row],[Quantity]]&gt;0,INDEX(TcacRents,$P$18,Cdlac[[#This Row],[Bedrooms]]+1)*Cdlac[[#This Row],[AMI]],"")</f>
        <v>1562.3999999999999</v>
      </c>
      <c r="Q23" s="1107" cm="1">
        <f t="array" ref="Q23">IF(Cdlac[[#This Row],[Quantity]]&gt;0,INDEX(HudFmrs,$P$18,Cdlac[[#This Row],[Bedrooms]]+1),"")</f>
        <v>1604</v>
      </c>
      <c r="R23" s="1107">
        <f>IF(Cdlac[[#This Row],[Quantity]]&gt;0,MAX(0,Cdlac[[#This Row],[Fair Market Rent]]-Cdlac[[#This Row],[Restricted Rent]]),"")</f>
        <v>41.600000000000136</v>
      </c>
      <c r="S23" s="1085">
        <f>IF(Cdlac[[#This Row],[Quantity]]&gt;0,AND(Application!AK717&lt;&gt;"N/A",Application!AK717&lt;&gt;"")*Cdlac[[#This Row],[Quantity]],"")</f>
        <v>0</v>
      </c>
      <c r="T23" s="1085" t="b">
        <f>AND('Subsidy Contract Calculation'!F7&gt;0,'Subsidy Contract Calculation'!C7="Federal",Cdlac[[#This Row],[Quantity]]&gt;0)</f>
        <v>0</v>
      </c>
    </row>
    <row r="24" spans="1:20" ht="15" customHeight="1">
      <c r="A24" s="1118"/>
      <c r="C24" s="1119">
        <v>2</v>
      </c>
      <c r="D24" s="1117">
        <v>1.25</v>
      </c>
      <c r="E24" s="1116">
        <f>SUMIFS(Cdlac[Quantity],Cdlac[Bedrooms],C24)</f>
        <v>77</v>
      </c>
      <c r="F24" s="1119">
        <f>SUM(E24:E26)-SUM(F25:F26)</f>
        <v>97</v>
      </c>
      <c r="G24" s="1116">
        <f>D24*F24</f>
        <v>121.25</v>
      </c>
      <c r="H24" s="1118"/>
      <c r="I24" s="1118"/>
      <c r="L24" s="1085" t="str">
        <f>IFERROR(MIN(4,MATCH(Application!B718,UnitSizes,0)-1),"")</f>
        <v/>
      </c>
      <c r="M24" s="1107">
        <f>Application!G718</f>
        <v>0</v>
      </c>
      <c r="N24" s="1115">
        <f>Application!AC718</f>
        <v>0</v>
      </c>
      <c r="O24" s="1115" t="str">
        <f>IF(Cdlac[[#This Row],[Quantity]]&gt;0,IF(Cdlac[[#This Row],[Federal]],30%,IF($G$36,40%,Cdlac[[#This Row],[iAMI]])),"")</f>
        <v/>
      </c>
      <c r="P24" s="1107" t="str" cm="1">
        <f t="array" ref="P24">IF(Cdlac[[#This Row],[Quantity]]&gt;0,INDEX(TcacRents,$P$18,Cdlac[[#This Row],[Bedrooms]]+1)*Cdlac[[#This Row],[AMI]],"")</f>
        <v/>
      </c>
      <c r="Q24" s="1107" t="str" cm="1">
        <f t="array" ref="Q24">IF(Cdlac[[#This Row],[Quantity]]&gt;0,INDEX(HudFmrs,$P$18,Cdlac[[#This Row],[Bedrooms]]+1),"")</f>
        <v/>
      </c>
      <c r="R24" s="1107" t="str">
        <f>IF(Cdlac[[#This Row],[Quantity]]&gt;0,MAX(0,Cdlac[[#This Row],[Fair Market Rent]]-Cdlac[[#This Row],[Restricted Rent]]),"")</f>
        <v/>
      </c>
      <c r="S24" s="1085" t="str">
        <f>IF(Cdlac[[#This Row],[Quantity]]&gt;0,AND(Application!AK718&lt;&gt;"N/A",Application!AK718&lt;&gt;"")*Cdlac[[#This Row],[Quantity]],"")</f>
        <v/>
      </c>
      <c r="T24" s="1085" t="b">
        <f>AND('Subsidy Contract Calculation'!F8&gt;0,'Subsidy Contract Calculation'!C8="Federal",Cdlac[[#This Row],[Quantity]]&gt;0)</f>
        <v>0</v>
      </c>
    </row>
    <row r="25" spans="1:20" ht="15" customHeight="1">
      <c r="A25" s="1118"/>
      <c r="C25" s="1119">
        <v>3</v>
      </c>
      <c r="D25" s="1117">
        <f>1.5+0.25*0</f>
        <v>1.5</v>
      </c>
      <c r="E25" s="1116">
        <f>SUMIFS(Cdlac[Quantity],Cdlac[Bedrooms],C25)</f>
        <v>78</v>
      </c>
      <c r="F25" s="1119">
        <f>MIN(E25,ROUNDDOWN(E27*30%,0))</f>
        <v>58</v>
      </c>
      <c r="G25" s="1116">
        <f>D25*F25</f>
        <v>87</v>
      </c>
      <c r="H25" s="1118"/>
      <c r="I25" s="1118"/>
      <c r="L25" s="1085">
        <f>IFERROR(MIN(4,MATCH(Application!B719,UnitSizes,0)-1),"")</f>
        <v>2</v>
      </c>
      <c r="M25" s="1107">
        <f>Application!G719</f>
        <v>7</v>
      </c>
      <c r="N25" s="1115">
        <f>Application!AC719</f>
        <v>0.3</v>
      </c>
      <c r="O25" s="1115">
        <f>IF(Cdlac[[#This Row],[Quantity]]&gt;0,IF(Cdlac[[#This Row],[Federal]],30%,IF($G$36,40%,Cdlac[[#This Row],[iAMI]])),"")</f>
        <v>0.3</v>
      </c>
      <c r="P25" s="1107" cm="1">
        <f t="array" ref="P25">IF(Cdlac[[#This Row],[Quantity]]&gt;0,INDEX(TcacRents,$P$18,Cdlac[[#This Row],[Bedrooms]]+1)*Cdlac[[#This Row],[AMI]],"")</f>
        <v>804</v>
      </c>
      <c r="Q25" s="1107" cm="1">
        <f t="array" ref="Q25">IF(Cdlac[[#This Row],[Quantity]]&gt;0,INDEX(HudFmrs,$P$18,Cdlac[[#This Row],[Bedrooms]]+1),"")</f>
        <v>2044</v>
      </c>
      <c r="R25" s="1107">
        <f>IF(Cdlac[[#This Row],[Quantity]]&gt;0,MAX(0,Cdlac[[#This Row],[Fair Market Rent]]-Cdlac[[#This Row],[Restricted Rent]]),"")</f>
        <v>1240</v>
      </c>
      <c r="S25" s="1085">
        <f>IF(Cdlac[[#This Row],[Quantity]]&gt;0,AND(Application!AK719&lt;&gt;"N/A",Application!AK719&lt;&gt;"")*Cdlac[[#This Row],[Quantity]],"")</f>
        <v>0</v>
      </c>
      <c r="T25" s="1085" t="b">
        <f>AND('Subsidy Contract Calculation'!F9&gt;0,'Subsidy Contract Calculation'!C9="Federal",Cdlac[[#This Row],[Quantity]]&gt;0)</f>
        <v>0</v>
      </c>
    </row>
    <row r="26" spans="1:20" ht="15" customHeight="1" thickBot="1">
      <c r="A26" s="1118"/>
      <c r="C26" s="1132">
        <v>4</v>
      </c>
      <c r="D26" s="1133">
        <f>1.75+0.25*0</f>
        <v>1.75</v>
      </c>
      <c r="E26" s="1134">
        <f>SUMIFS(Cdlac[Quantity],Cdlac[Bedrooms],C26)</f>
        <v>0</v>
      </c>
      <c r="F26" s="1132">
        <f>MIN(E26,ROUNDDOWN(E27*10%,0))</f>
        <v>0</v>
      </c>
      <c r="G26" s="1134">
        <f>D26*F26</f>
        <v>0</v>
      </c>
      <c r="H26" s="1118"/>
      <c r="I26" s="1118"/>
      <c r="L26" s="1085">
        <f>IFERROR(MIN(4,MATCH(Application!B720,UnitSizes,0)-1),"")</f>
        <v>2</v>
      </c>
      <c r="M26" s="1107">
        <f>Application!G720</f>
        <v>12</v>
      </c>
      <c r="N26" s="1115">
        <f>Application!AC720</f>
        <v>0.5</v>
      </c>
      <c r="O26" s="1115">
        <f>IF(Cdlac[[#This Row],[Quantity]]&gt;0,IF(Cdlac[[#This Row],[Federal]],30%,IF($G$36,40%,Cdlac[[#This Row],[iAMI]])),"")</f>
        <v>0.5</v>
      </c>
      <c r="P26" s="1107" cm="1">
        <f t="array" ref="P26">IF(Cdlac[[#This Row],[Quantity]]&gt;0,INDEX(TcacRents,$P$18,Cdlac[[#This Row],[Bedrooms]]+1)*Cdlac[[#This Row],[AMI]],"")</f>
        <v>1340</v>
      </c>
      <c r="Q26" s="1107" cm="1">
        <f t="array" ref="Q26">IF(Cdlac[[#This Row],[Quantity]]&gt;0,INDEX(HudFmrs,$P$18,Cdlac[[#This Row],[Bedrooms]]+1),"")</f>
        <v>2044</v>
      </c>
      <c r="R26" s="1107">
        <f>IF(Cdlac[[#This Row],[Quantity]]&gt;0,MAX(0,Cdlac[[#This Row],[Fair Market Rent]]-Cdlac[[#This Row],[Restricted Rent]]),"")</f>
        <v>704</v>
      </c>
      <c r="S26" s="1085">
        <f>IF(Cdlac[[#This Row],[Quantity]]&gt;0,AND(Application!AK720&lt;&gt;"N/A",Application!AK720&lt;&gt;"")*Cdlac[[#This Row],[Quantity]],"")</f>
        <v>0</v>
      </c>
      <c r="T26" s="1085" t="b">
        <f>AND('Subsidy Contract Calculation'!F10&gt;0,'Subsidy Contract Calculation'!C10="Federal",Cdlac[[#This Row],[Quantity]]&gt;0)</f>
        <v>0</v>
      </c>
    </row>
    <row r="27" spans="1:20" ht="15" customHeight="1">
      <c r="A27" s="1118"/>
      <c r="C27" s="2150" t="s">
        <v>1765</v>
      </c>
      <c r="D27" s="2151"/>
      <c r="E27" s="1135">
        <f>SUM(E22:E26)</f>
        <v>195</v>
      </c>
      <c r="F27" s="1135">
        <f>SUM(F22:F26)</f>
        <v>195</v>
      </c>
      <c r="G27" s="1136">
        <f>SUMPRODUCT(D22:D26,F22:F26)</f>
        <v>248.25</v>
      </c>
      <c r="H27" s="1118"/>
      <c r="I27" s="1118"/>
      <c r="L27" s="1085">
        <f>IFERROR(MIN(4,MATCH(Application!B721,UnitSizes,0)-1),"")</f>
        <v>2</v>
      </c>
      <c r="M27" s="1107">
        <f>Application!G721</f>
        <v>24</v>
      </c>
      <c r="N27" s="1115">
        <f>Application!AC721</f>
        <v>0.6</v>
      </c>
      <c r="O27" s="1115">
        <f>IF(Cdlac[[#This Row],[Quantity]]&gt;0,IF(Cdlac[[#This Row],[Federal]],30%,IF($G$36,40%,Cdlac[[#This Row],[iAMI]])),"")</f>
        <v>0.6</v>
      </c>
      <c r="P27" s="1107" cm="1">
        <f t="array" ref="P27">IF(Cdlac[[#This Row],[Quantity]]&gt;0,INDEX(TcacRents,$P$18,Cdlac[[#This Row],[Bedrooms]]+1)*Cdlac[[#This Row],[AMI]],"")</f>
        <v>1608</v>
      </c>
      <c r="Q27" s="1107" cm="1">
        <f t="array" ref="Q27">IF(Cdlac[[#This Row],[Quantity]]&gt;0,INDEX(HudFmrs,$P$18,Cdlac[[#This Row],[Bedrooms]]+1),"")</f>
        <v>2044</v>
      </c>
      <c r="R27" s="1107">
        <f>IF(Cdlac[[#This Row],[Quantity]]&gt;0,MAX(0,Cdlac[[#This Row],[Fair Market Rent]]-Cdlac[[#This Row],[Restricted Rent]]),"")</f>
        <v>436</v>
      </c>
      <c r="S27" s="1085">
        <f>IF(Cdlac[[#This Row],[Quantity]]&gt;0,AND(Application!AK721&lt;&gt;"N/A",Application!AK721&lt;&gt;"")*Cdlac[[#This Row],[Quantity]],"")</f>
        <v>0</v>
      </c>
      <c r="T27" s="1085" t="b">
        <f>AND('Subsidy Contract Calculation'!F11&gt;0,'Subsidy Contract Calculation'!C11="Federal",Cdlac[[#This Row],[Quantity]]&gt;0)</f>
        <v>0</v>
      </c>
    </row>
    <row r="28" spans="1:20" ht="15" customHeight="1">
      <c r="A28" s="1118"/>
      <c r="C28" s="1118"/>
      <c r="D28" s="1118"/>
      <c r="E28" s="1118"/>
      <c r="F28" s="1118"/>
      <c r="G28" s="1118"/>
      <c r="H28" s="1118"/>
      <c r="I28" s="1118"/>
      <c r="L28" s="1085">
        <f>IFERROR(MIN(4,MATCH(Application!B722,UnitSizes,0)-1),"")</f>
        <v>2</v>
      </c>
      <c r="M28" s="1107">
        <f>Application!G722</f>
        <v>34</v>
      </c>
      <c r="N28" s="1115">
        <f>Application!AC722</f>
        <v>0.7</v>
      </c>
      <c r="O28" s="1115">
        <f>IF(Cdlac[[#This Row],[Quantity]]&gt;0,IF(Cdlac[[#This Row],[Federal]],30%,IF($G$36,40%,Cdlac[[#This Row],[iAMI]])),"")</f>
        <v>0.7</v>
      </c>
      <c r="P28" s="1107" cm="1">
        <f t="array" ref="P28">IF(Cdlac[[#This Row],[Quantity]]&gt;0,INDEX(TcacRents,$P$18,Cdlac[[#This Row],[Bedrooms]]+1)*Cdlac[[#This Row],[AMI]],"")</f>
        <v>1875.9999999999998</v>
      </c>
      <c r="Q28" s="1107" cm="1">
        <f t="array" ref="Q28">IF(Cdlac[[#This Row],[Quantity]]&gt;0,INDEX(HudFmrs,$P$18,Cdlac[[#This Row],[Bedrooms]]+1),"")</f>
        <v>2044</v>
      </c>
      <c r="R28" s="1107">
        <f>IF(Cdlac[[#This Row],[Quantity]]&gt;0,MAX(0,Cdlac[[#This Row],[Fair Market Rent]]-Cdlac[[#This Row],[Restricted Rent]]),"")</f>
        <v>168.00000000000023</v>
      </c>
      <c r="S28" s="1085">
        <f>IF(Cdlac[[#This Row],[Quantity]]&gt;0,AND(Application!AK722&lt;&gt;"N/A",Application!AK722&lt;&gt;"")*Cdlac[[#This Row],[Quantity]],"")</f>
        <v>0</v>
      </c>
      <c r="T28" s="1085" t="b">
        <f>AND('Subsidy Contract Calculation'!F12&gt;0,'Subsidy Contract Calculation'!C12="Federal",Cdlac[[#This Row],[Quantity]]&gt;0)</f>
        <v>0</v>
      </c>
    </row>
    <row r="29" spans="1:20" ht="15" customHeight="1">
      <c r="A29" s="1118"/>
      <c r="E29" s="1165" t="s">
        <v>2375</v>
      </c>
      <c r="G29" s="1162">
        <f>G27</f>
        <v>248.25</v>
      </c>
      <c r="H29" s="1118"/>
      <c r="I29" s="1118"/>
      <c r="L29" s="1085" t="str">
        <f>IFERROR(MIN(4,MATCH(Application!B723,UnitSizes,0)-1),"")</f>
        <v/>
      </c>
      <c r="M29" s="1107">
        <f>Application!G723</f>
        <v>0</v>
      </c>
      <c r="N29" s="1115">
        <f>Application!AC723</f>
        <v>0</v>
      </c>
      <c r="O29" s="1115" t="str">
        <f>IF(Cdlac[[#This Row],[Quantity]]&gt;0,IF(Cdlac[[#This Row],[Federal]],30%,IF($G$36,40%,Cdlac[[#This Row],[iAMI]])),"")</f>
        <v/>
      </c>
      <c r="P29" s="1107" t="str" cm="1">
        <f t="array" ref="P29">IF(Cdlac[[#This Row],[Quantity]]&gt;0,INDEX(TcacRents,$P$18,Cdlac[[#This Row],[Bedrooms]]+1)*Cdlac[[#This Row],[AMI]],"")</f>
        <v/>
      </c>
      <c r="Q29" s="1107" t="str" cm="1">
        <f t="array" ref="Q29">IF(Cdlac[[#This Row],[Quantity]]&gt;0,INDEX(HudFmrs,$P$18,Cdlac[[#This Row],[Bedrooms]]+1),"")</f>
        <v/>
      </c>
      <c r="R29" s="1107" t="str">
        <f>IF(Cdlac[[#This Row],[Quantity]]&gt;0,MAX(0,Cdlac[[#This Row],[Fair Market Rent]]-Cdlac[[#This Row],[Restricted Rent]]),"")</f>
        <v/>
      </c>
      <c r="S29" s="1085" t="str">
        <f>IF(Cdlac[[#This Row],[Quantity]]&gt;0,AND(Application!AK723&lt;&gt;"N/A",Application!AK723&lt;&gt;"")*Cdlac[[#This Row],[Quantity]],"")</f>
        <v/>
      </c>
      <c r="T29" s="1085" t="b">
        <f>AND('Subsidy Contract Calculation'!F13&gt;0,'Subsidy Contract Calculation'!C13="Federal",Cdlac[[#This Row],[Quantity]]&gt;0)</f>
        <v>0</v>
      </c>
    </row>
    <row r="30" spans="1:20" ht="15" customHeight="1">
      <c r="A30" s="1118"/>
      <c r="E30" s="1165" t="s">
        <v>2327</v>
      </c>
      <c r="F30" s="1161" t="s">
        <v>2384</v>
      </c>
      <c r="G30" s="1163">
        <v>50000</v>
      </c>
      <c r="H30" s="1118"/>
      <c r="I30" s="1118"/>
      <c r="L30" s="1085">
        <f>IFERROR(MIN(4,MATCH(Application!B724,UnitSizes,0)-1),"")</f>
        <v>3</v>
      </c>
      <c r="M30" s="1107">
        <f>Application!G724</f>
        <v>7</v>
      </c>
      <c r="N30" s="1115">
        <f>Application!AC724</f>
        <v>0.3</v>
      </c>
      <c r="O30" s="1115">
        <f>IF(Cdlac[[#This Row],[Quantity]]&gt;0,IF(Cdlac[[#This Row],[Federal]],30%,IF($G$36,40%,Cdlac[[#This Row],[iAMI]])),"")</f>
        <v>0.3</v>
      </c>
      <c r="P30" s="1107" cm="1">
        <f t="array" ref="P30">IF(Cdlac[[#This Row],[Quantity]]&gt;0,INDEX(TcacRents,$P$18,Cdlac[[#This Row],[Bedrooms]]+1)*Cdlac[[#This Row],[AMI]],"")</f>
        <v>928.8</v>
      </c>
      <c r="Q30" s="1107" cm="1">
        <f t="array" ref="Q30">IF(Cdlac[[#This Row],[Quantity]]&gt;0,INDEX(HudFmrs,$P$18,Cdlac[[#This Row],[Bedrooms]]+1),"")</f>
        <v>2693</v>
      </c>
      <c r="R30" s="1107">
        <f>IF(Cdlac[[#This Row],[Quantity]]&gt;0,MAX(0,Cdlac[[#This Row],[Fair Market Rent]]-Cdlac[[#This Row],[Restricted Rent]]),"")</f>
        <v>1764.2</v>
      </c>
      <c r="S30" s="1085">
        <f>IF(Cdlac[[#This Row],[Quantity]]&gt;0,AND(Application!AK724&lt;&gt;"N/A",Application!AK724&lt;&gt;"")*Cdlac[[#This Row],[Quantity]],"")</f>
        <v>0</v>
      </c>
      <c r="T30" s="1085" t="b">
        <f>AND('Subsidy Contract Calculation'!F14&gt;0,'Subsidy Contract Calculation'!C14="Federal",Cdlac[[#This Row],[Quantity]]&gt;0)</f>
        <v>0</v>
      </c>
    </row>
    <row r="31" spans="1:20" ht="15" customHeight="1">
      <c r="A31" s="1118"/>
      <c r="E31" s="1166" t="s">
        <v>2368</v>
      </c>
      <c r="F31" s="1087"/>
      <c r="G31" s="1167">
        <f>G30*G29</f>
        <v>12412500</v>
      </c>
      <c r="H31" s="1118"/>
      <c r="I31" s="1118"/>
      <c r="L31" s="1085">
        <f>IFERROR(MIN(4,MATCH(Application!B725,UnitSizes,0)-1),"")</f>
        <v>3</v>
      </c>
      <c r="M31" s="1107">
        <f>Application!G725</f>
        <v>13</v>
      </c>
      <c r="N31" s="1115">
        <f>Application!AC725</f>
        <v>0.5</v>
      </c>
      <c r="O31" s="1115">
        <f>IF(Cdlac[[#This Row],[Quantity]]&gt;0,IF(Cdlac[[#This Row],[Federal]],30%,IF($G$36,40%,Cdlac[[#This Row],[iAMI]])),"")</f>
        <v>0.5</v>
      </c>
      <c r="P31" s="1107" cm="1">
        <f t="array" ref="P31">IF(Cdlac[[#This Row],[Quantity]]&gt;0,INDEX(TcacRents,$P$18,Cdlac[[#This Row],[Bedrooms]]+1)*Cdlac[[#This Row],[AMI]],"")</f>
        <v>1548</v>
      </c>
      <c r="Q31" s="1107" cm="1">
        <f t="array" ref="Q31">IF(Cdlac[[#This Row],[Quantity]]&gt;0,INDEX(HudFmrs,$P$18,Cdlac[[#This Row],[Bedrooms]]+1),"")</f>
        <v>2693</v>
      </c>
      <c r="R31" s="1107">
        <f>IF(Cdlac[[#This Row],[Quantity]]&gt;0,MAX(0,Cdlac[[#This Row],[Fair Market Rent]]-Cdlac[[#This Row],[Restricted Rent]]),"")</f>
        <v>1145</v>
      </c>
      <c r="S31" s="1085">
        <f>IF(Cdlac[[#This Row],[Quantity]]&gt;0,AND(Application!AK725&lt;&gt;"N/A",Application!AK725&lt;&gt;"")*Cdlac[[#This Row],[Quantity]],"")</f>
        <v>0</v>
      </c>
      <c r="T31" s="1085" t="b">
        <f>AND('Subsidy Contract Calculation'!F15&gt;0,'Subsidy Contract Calculation'!C15="Federal",Cdlac[[#This Row],[Quantity]]&gt;0)</f>
        <v>0</v>
      </c>
    </row>
    <row r="32" spans="1:20" ht="15" customHeight="1">
      <c r="A32" s="1118"/>
      <c r="B32" s="1118"/>
      <c r="C32" s="1118"/>
      <c r="D32" s="1118"/>
      <c r="E32" s="1118"/>
      <c r="F32" s="1118"/>
      <c r="G32" s="1118"/>
      <c r="H32" s="1118"/>
      <c r="I32" s="1118"/>
      <c r="L32" s="1085">
        <f>IFERROR(MIN(4,MATCH(Application!B726,UnitSizes,0)-1),"")</f>
        <v>3</v>
      </c>
      <c r="M32" s="1107">
        <f>Application!G726</f>
        <v>24</v>
      </c>
      <c r="N32" s="1115">
        <f>Application!AC726</f>
        <v>0.6</v>
      </c>
      <c r="O32" s="1115">
        <f>IF(Cdlac[[#This Row],[Quantity]]&gt;0,IF(Cdlac[[#This Row],[Federal]],30%,IF($G$36,40%,Cdlac[[#This Row],[iAMI]])),"")</f>
        <v>0.6</v>
      </c>
      <c r="P32" s="1107" cm="1">
        <f t="array" ref="P32">IF(Cdlac[[#This Row],[Quantity]]&gt;0,INDEX(TcacRents,$P$18,Cdlac[[#This Row],[Bedrooms]]+1)*Cdlac[[#This Row],[AMI]],"")</f>
        <v>1857.6</v>
      </c>
      <c r="Q32" s="1107" cm="1">
        <f t="array" ref="Q32">IF(Cdlac[[#This Row],[Quantity]]&gt;0,INDEX(HudFmrs,$P$18,Cdlac[[#This Row],[Bedrooms]]+1),"")</f>
        <v>2693</v>
      </c>
      <c r="R32" s="1107">
        <f>IF(Cdlac[[#This Row],[Quantity]]&gt;0,MAX(0,Cdlac[[#This Row],[Fair Market Rent]]-Cdlac[[#This Row],[Restricted Rent]]),"")</f>
        <v>835.40000000000009</v>
      </c>
      <c r="S32" s="1085">
        <f>IF(Cdlac[[#This Row],[Quantity]]&gt;0,AND(Application!AK726&lt;&gt;"N/A",Application!AK726&lt;&gt;"")*Cdlac[[#This Row],[Quantity]],"")</f>
        <v>0</v>
      </c>
      <c r="T32" s="1085" t="b">
        <f>AND('Subsidy Contract Calculation'!F16&gt;0,'Subsidy Contract Calculation'!C16="Federal",Cdlac[[#This Row],[Quantity]]&gt;0)</f>
        <v>0</v>
      </c>
    </row>
    <row r="33" spans="2:20" ht="15" customHeight="1">
      <c r="B33" s="1110" t="str">
        <f>B10</f>
        <v>B. Rent Savings Benefit</v>
      </c>
      <c r="C33" s="1111"/>
      <c r="D33" s="1111"/>
      <c r="E33" s="1111"/>
      <c r="F33" s="1111"/>
      <c r="G33" s="1111"/>
      <c r="H33" s="1111"/>
      <c r="I33" s="1112"/>
      <c r="L33" s="1085">
        <f>IFERROR(MIN(4,MATCH(Application!B727,UnitSizes,0)-1),"")</f>
        <v>3</v>
      </c>
      <c r="M33" s="1107">
        <f>Application!G727</f>
        <v>34</v>
      </c>
      <c r="N33" s="1115">
        <f>Application!AC727</f>
        <v>0.7</v>
      </c>
      <c r="O33" s="1115">
        <f>IF(Cdlac[[#This Row],[Quantity]]&gt;0,IF(Cdlac[[#This Row],[Federal]],30%,IF($G$36,40%,Cdlac[[#This Row],[iAMI]])),"")</f>
        <v>0.7</v>
      </c>
      <c r="P33" s="1107" cm="1">
        <f t="array" ref="P33">IF(Cdlac[[#This Row],[Quantity]]&gt;0,INDEX(TcacRents,$P$18,Cdlac[[#This Row],[Bedrooms]]+1)*Cdlac[[#This Row],[AMI]],"")</f>
        <v>2167.1999999999998</v>
      </c>
      <c r="Q33" s="1107" cm="1">
        <f t="array" ref="Q33">IF(Cdlac[[#This Row],[Quantity]]&gt;0,INDEX(HudFmrs,$P$18,Cdlac[[#This Row],[Bedrooms]]+1),"")</f>
        <v>2693</v>
      </c>
      <c r="R33" s="1107">
        <f>IF(Cdlac[[#This Row],[Quantity]]&gt;0,MAX(0,Cdlac[[#This Row],[Fair Market Rent]]-Cdlac[[#This Row],[Restricted Rent]]),"")</f>
        <v>525.80000000000018</v>
      </c>
      <c r="S33" s="1085">
        <f>IF(Cdlac[[#This Row],[Quantity]]&gt;0,AND(Application!AK727&lt;&gt;"N/A",Application!AK727&lt;&gt;"")*Cdlac[[#This Row],[Quantity]],"")</f>
        <v>0</v>
      </c>
      <c r="T33" s="1085" t="b">
        <f>AND('Subsidy Contract Calculation'!F17&gt;0,'Subsidy Contract Calculation'!C17="Federal",Cdlac[[#This Row],[Quantity]]&gt;0)</f>
        <v>0</v>
      </c>
    </row>
    <row r="34" spans="2:20" ht="15" customHeight="1">
      <c r="L34" s="1085" t="str">
        <f>IFERROR(MIN(4,MATCH(Application!B728,UnitSizes,0)-1),"")</f>
        <v/>
      </c>
      <c r="M34" s="1107">
        <f>Application!G728</f>
        <v>0</v>
      </c>
      <c r="N34" s="1115">
        <f>Application!AC728</f>
        <v>0</v>
      </c>
      <c r="O34" s="1115" t="str">
        <f>IF(Cdlac[[#This Row],[Quantity]]&gt;0,IF(Cdlac[[#This Row],[Federal]],30%,IF($G$36,40%,Cdlac[[#This Row],[iAMI]])),"")</f>
        <v/>
      </c>
      <c r="P34" s="1107" t="str" cm="1">
        <f t="array" ref="P34">IF(Cdlac[[#This Row],[Quantity]]&gt;0,INDEX(TcacRents,$P$18,Cdlac[[#This Row],[Bedrooms]]+1)*Cdlac[[#This Row],[AMI]],"")</f>
        <v/>
      </c>
      <c r="Q34" s="1107" t="str" cm="1">
        <f t="array" ref="Q34">IF(Cdlac[[#This Row],[Quantity]]&gt;0,INDEX(HudFmrs,$P$18,Cdlac[[#This Row],[Bedrooms]]+1),"")</f>
        <v/>
      </c>
      <c r="R34" s="1107" t="str">
        <f>IF(Cdlac[[#This Row],[Quantity]]&gt;0,MAX(0,Cdlac[[#This Row],[Fair Market Rent]]-Cdlac[[#This Row],[Restricted Rent]]),"")</f>
        <v/>
      </c>
      <c r="S34" s="1085" t="str">
        <f>IF(Cdlac[[#This Row],[Quantity]]&gt;0,AND(Application!AK728&lt;&gt;"N/A",Application!AK728&lt;&gt;"")*Cdlac[[#This Row],[Quantity]],"")</f>
        <v/>
      </c>
      <c r="T34" s="1085" t="b">
        <f>AND('Subsidy Contract Calculation'!F18&gt;0,'Subsidy Contract Calculation'!C18="Federal",Cdlac[[#This Row],[Quantity]]&gt;0)</f>
        <v>0</v>
      </c>
    </row>
    <row r="35" spans="2:20" ht="15" customHeight="1">
      <c r="E35" s="1130" t="s">
        <v>2395</v>
      </c>
      <c r="G35" s="1168" cm="1">
        <f t="array" ref="G35">SUMPRODUCT(Cdlac[Quantity],Cdlac[iAMI],IF(Cdlac[Federal],0,1))/SUMIFS(Cdlac[Quantity],Cdlac[Federal],FALSE)</f>
        <v>0.59897435897435891</v>
      </c>
      <c r="L35" s="1085" t="str">
        <f>IFERROR(MIN(4,MATCH(Application!B729,UnitSizes,0)-1),"")</f>
        <v/>
      </c>
      <c r="M35" s="1107">
        <f>Application!G729</f>
        <v>0</v>
      </c>
      <c r="N35" s="1115">
        <f>Application!AC729</f>
        <v>0</v>
      </c>
      <c r="O35" s="1115" t="str">
        <f>IF(Cdlac[[#This Row],[Quantity]]&gt;0,IF(Cdlac[[#This Row],[Federal]],30%,IF($G$36,40%,Cdlac[[#This Row],[iAMI]])),"")</f>
        <v/>
      </c>
      <c r="P35" s="1107" t="str" cm="1">
        <f t="array" ref="P35">IF(Cdlac[[#This Row],[Quantity]]&gt;0,INDEX(TcacRents,$P$18,Cdlac[[#This Row],[Bedrooms]]+1)*Cdlac[[#This Row],[AMI]],"")</f>
        <v/>
      </c>
      <c r="Q35" s="1107" t="str" cm="1">
        <f t="array" ref="Q35">IF(Cdlac[[#This Row],[Quantity]]&gt;0,INDEX(HudFmrs,$P$18,Cdlac[[#This Row],[Bedrooms]]+1),"")</f>
        <v/>
      </c>
      <c r="R35" s="1107" t="str">
        <f>IF(Cdlac[[#This Row],[Quantity]]&gt;0,MAX(0,Cdlac[[#This Row],[Fair Market Rent]]-Cdlac[[#This Row],[Restricted Rent]]),"")</f>
        <v/>
      </c>
      <c r="S35" s="1085" t="str">
        <f>IF(Cdlac[[#This Row],[Quantity]]&gt;0,AND(Application!AK729&lt;&gt;"N/A",Application!AK729&lt;&gt;"")*Cdlac[[#This Row],[Quantity]],"")</f>
        <v/>
      </c>
      <c r="T35" s="1085" t="b">
        <f>AND('Subsidy Contract Calculation'!F19&gt;0,'Subsidy Contract Calculation'!C19="Federal",Cdlac[[#This Row],[Quantity]]&gt;0)</f>
        <v>0</v>
      </c>
    </row>
    <row r="36" spans="2:20" ht="15" customHeight="1">
      <c r="E36" s="1130" t="s">
        <v>2390</v>
      </c>
      <c r="G36" s="1125" t="b">
        <f>G35&lt;40%</f>
        <v>0</v>
      </c>
      <c r="L36" s="1085" t="str">
        <f>IFERROR(MIN(4,MATCH(Application!B730,UnitSizes,0)-1),"")</f>
        <v/>
      </c>
      <c r="M36" s="1107">
        <f>Application!G730</f>
        <v>0</v>
      </c>
      <c r="N36" s="1115">
        <f>Application!AC730</f>
        <v>0</v>
      </c>
      <c r="O36" s="1115" t="str">
        <f>IF(Cdlac[[#This Row],[Quantity]]&gt;0,IF(Cdlac[[#This Row],[Federal]],30%,IF($G$36,40%,Cdlac[[#This Row],[iAMI]])),"")</f>
        <v/>
      </c>
      <c r="P36" s="1107" t="str" cm="1">
        <f t="array" ref="P36">IF(Cdlac[[#This Row],[Quantity]]&gt;0,INDEX(TcacRents,$P$18,Cdlac[[#This Row],[Bedrooms]]+1)*Cdlac[[#This Row],[AMI]],"")</f>
        <v/>
      </c>
      <c r="Q36" s="1107" t="str" cm="1">
        <f t="array" ref="Q36">IF(Cdlac[[#This Row],[Quantity]]&gt;0,INDEX(HudFmrs,$P$18,Cdlac[[#This Row],[Bedrooms]]+1),"")</f>
        <v/>
      </c>
      <c r="R36" s="1107" t="str">
        <f>IF(Cdlac[[#This Row],[Quantity]]&gt;0,MAX(0,Cdlac[[#This Row],[Fair Market Rent]]-Cdlac[[#This Row],[Restricted Rent]]),"")</f>
        <v/>
      </c>
      <c r="S36" s="1085" t="str">
        <f>IF(Cdlac[[#This Row],[Quantity]]&gt;0,AND(Application!AK730&lt;&gt;"N/A",Application!AK730&lt;&gt;"")*Cdlac[[#This Row],[Quantity]],"")</f>
        <v/>
      </c>
      <c r="T36" s="1085" t="b">
        <f>AND('Subsidy Contract Calculation'!F20&gt;0,'Subsidy Contract Calculation'!C20="Federal",Cdlac[[#This Row],[Quantity]]&gt;0)</f>
        <v>0</v>
      </c>
    </row>
    <row r="37" spans="2:20" ht="15" customHeight="1">
      <c r="L37" s="1085" t="str">
        <f>IFERROR(MIN(4,MATCH(Application!B731,UnitSizes,0)-1),"")</f>
        <v/>
      </c>
      <c r="M37" s="1107">
        <f>Application!G731</f>
        <v>0</v>
      </c>
      <c r="N37" s="1115">
        <f>Application!AC731</f>
        <v>0</v>
      </c>
      <c r="O37" s="1115" t="str">
        <f>IF(Cdlac[[#This Row],[Quantity]]&gt;0,IF(Cdlac[[#This Row],[Federal]],30%,IF($G$36,40%,Cdlac[[#This Row],[iAMI]])),"")</f>
        <v/>
      </c>
      <c r="P37" s="1107" t="str" cm="1">
        <f t="array" ref="P37">IF(Cdlac[[#This Row],[Quantity]]&gt;0,INDEX(TcacRents,$P$18,Cdlac[[#This Row],[Bedrooms]]+1)*Cdlac[[#This Row],[AMI]],"")</f>
        <v/>
      </c>
      <c r="Q37" s="1107" t="str" cm="1">
        <f t="array" ref="Q37">IF(Cdlac[[#This Row],[Quantity]]&gt;0,INDEX(HudFmrs,$P$18,Cdlac[[#This Row],[Bedrooms]]+1),"")</f>
        <v/>
      </c>
      <c r="R37" s="1107" t="str">
        <f>IF(Cdlac[[#This Row],[Quantity]]&gt;0,MAX(0,Cdlac[[#This Row],[Fair Market Rent]]-Cdlac[[#This Row],[Restricted Rent]]),"")</f>
        <v/>
      </c>
      <c r="S37" s="1085" t="str">
        <f>IF(Cdlac[[#This Row],[Quantity]]&gt;0,AND(Application!AK731&lt;&gt;"N/A",Application!AK731&lt;&gt;"")*Cdlac[[#This Row],[Quantity]],"")</f>
        <v/>
      </c>
      <c r="T37" s="1085" t="b">
        <f>AND('Subsidy Contract Calculation'!F21&gt;0,'Subsidy Contract Calculation'!C21="Federal",Cdlac[[#This Row],[Quantity]]&gt;0)</f>
        <v>0</v>
      </c>
    </row>
    <row r="38" spans="2:20" ht="15" customHeight="1">
      <c r="E38" s="1130" t="s">
        <v>2331</v>
      </c>
      <c r="G38" s="1122">
        <f>SUMPRODUCT(Cdlac[Quantity],Cdlac[Delta])</f>
        <v>109726.80000000002</v>
      </c>
      <c r="L38" s="1085" t="str">
        <f>IFERROR(MIN(4,MATCH(Application!B732,UnitSizes,0)-1),"")</f>
        <v/>
      </c>
      <c r="M38" s="1107">
        <f>Application!G732</f>
        <v>0</v>
      </c>
      <c r="N38" s="1115">
        <f>Application!AC732</f>
        <v>0</v>
      </c>
      <c r="O38" s="1115" t="str">
        <f>IF(Cdlac[[#This Row],[Quantity]]&gt;0,IF(Cdlac[[#This Row],[Federal]],30%,IF($G$36,40%,Cdlac[[#This Row],[iAMI]])),"")</f>
        <v/>
      </c>
      <c r="P38" s="1107" t="str" cm="1">
        <f t="array" ref="P38">IF(Cdlac[[#This Row],[Quantity]]&gt;0,INDEX(TcacRents,$P$18,Cdlac[[#This Row],[Bedrooms]]+1)*Cdlac[[#This Row],[AMI]],"")</f>
        <v/>
      </c>
      <c r="Q38" s="1107" t="str" cm="1">
        <f t="array" ref="Q38">IF(Cdlac[[#This Row],[Quantity]]&gt;0,INDEX(HudFmrs,$P$18,Cdlac[[#This Row],[Bedrooms]]+1),"")</f>
        <v/>
      </c>
      <c r="R38" s="1107" t="str">
        <f>IF(Cdlac[[#This Row],[Quantity]]&gt;0,MAX(0,Cdlac[[#This Row],[Fair Market Rent]]-Cdlac[[#This Row],[Restricted Rent]]),"")</f>
        <v/>
      </c>
      <c r="S38" s="1085" t="str">
        <f>IF(Cdlac[[#This Row],[Quantity]]&gt;0,AND(Application!AK732&lt;&gt;"N/A",Application!AK732&lt;&gt;"")*Cdlac[[#This Row],[Quantity]],"")</f>
        <v/>
      </c>
      <c r="T38" s="1085" t="b">
        <f>AND('Subsidy Contract Calculation'!F22&gt;0,'Subsidy Contract Calculation'!C22="Federal",Cdlac[[#This Row],[Quantity]]&gt;0)</f>
        <v>0</v>
      </c>
    </row>
    <row r="39" spans="2:20" ht="15" customHeight="1">
      <c r="E39" s="1165" t="s">
        <v>2396</v>
      </c>
      <c r="F39" s="1161" t="s">
        <v>2384</v>
      </c>
      <c r="G39" s="1169">
        <f>12*15</f>
        <v>180</v>
      </c>
      <c r="L39" s="1085" t="str">
        <f>IFERROR(MIN(4,MATCH(Application!B733,UnitSizes,0)-1),"")</f>
        <v/>
      </c>
      <c r="M39" s="1107">
        <f>Application!G733</f>
        <v>0</v>
      </c>
      <c r="N39" s="1115">
        <f>Application!AC733</f>
        <v>0</v>
      </c>
      <c r="O39" s="1115" t="str">
        <f>IF(Cdlac[[#This Row],[Quantity]]&gt;0,IF(Cdlac[[#This Row],[Federal]],30%,IF($G$36,40%,Cdlac[[#This Row],[iAMI]])),"")</f>
        <v/>
      </c>
      <c r="P39" s="1107" t="str" cm="1">
        <f t="array" ref="P39">IF(Cdlac[[#This Row],[Quantity]]&gt;0,INDEX(TcacRents,$P$18,Cdlac[[#This Row],[Bedrooms]]+1)*Cdlac[[#This Row],[AMI]],"")</f>
        <v/>
      </c>
      <c r="Q39" s="1107" t="str" cm="1">
        <f t="array" ref="Q39">IF(Cdlac[[#This Row],[Quantity]]&gt;0,INDEX(HudFmrs,$P$18,Cdlac[[#This Row],[Bedrooms]]+1),"")</f>
        <v/>
      </c>
      <c r="R39" s="1107" t="str">
        <f>IF(Cdlac[[#This Row],[Quantity]]&gt;0,MAX(0,Cdlac[[#This Row],[Fair Market Rent]]-Cdlac[[#This Row],[Restricted Rent]]),"")</f>
        <v/>
      </c>
      <c r="S39" s="1085" t="str">
        <f>IF(Cdlac[[#This Row],[Quantity]]&gt;0,AND(Application!AK733&lt;&gt;"N/A",Application!AK733&lt;&gt;"")*Cdlac[[#This Row],[Quantity]],"")</f>
        <v/>
      </c>
      <c r="T39" s="1085" t="b">
        <f>AND('Subsidy Contract Calculation'!F23&gt;0,'Subsidy Contract Calculation'!C23="Federal",Cdlac[[#This Row],[Quantity]]&gt;0)</f>
        <v>0</v>
      </c>
    </row>
    <row r="40" spans="2:20" ht="15" customHeight="1">
      <c r="E40" s="1170" t="s">
        <v>2324</v>
      </c>
      <c r="F40" s="1087"/>
      <c r="G40" s="1171">
        <f>G38*G39</f>
        <v>19750824.000000004</v>
      </c>
      <c r="L40" s="1085" t="str">
        <f>IFERROR(MIN(4,MATCH(Application!B734,UnitSizes,0)-1),"")</f>
        <v/>
      </c>
      <c r="M40" s="1107">
        <f>Application!G734</f>
        <v>0</v>
      </c>
      <c r="N40" s="1115">
        <f>Application!AC734</f>
        <v>0</v>
      </c>
      <c r="O40" s="1115" t="str">
        <f>IF(Cdlac[[#This Row],[Quantity]]&gt;0,IF(Cdlac[[#This Row],[Federal]],30%,IF($G$36,40%,Cdlac[[#This Row],[iAMI]])),"")</f>
        <v/>
      </c>
      <c r="P40" s="1107" t="str" cm="1">
        <f t="array" ref="P40">IF(Cdlac[[#This Row],[Quantity]]&gt;0,INDEX(TcacRents,$P$18,Cdlac[[#This Row],[Bedrooms]]+1)*Cdlac[[#This Row],[AMI]],"")</f>
        <v/>
      </c>
      <c r="Q40" s="1107" t="str" cm="1">
        <f t="array" ref="Q40">IF(Cdlac[[#This Row],[Quantity]]&gt;0,INDEX(HudFmrs,$P$18,Cdlac[[#This Row],[Bedrooms]]+1),"")</f>
        <v/>
      </c>
      <c r="R40" s="1107" t="str">
        <f>IF(Cdlac[[#This Row],[Quantity]]&gt;0,MAX(0,Cdlac[[#This Row],[Fair Market Rent]]-Cdlac[[#This Row],[Restricted Rent]]),"")</f>
        <v/>
      </c>
      <c r="S40" s="1085" t="str">
        <f>IF(Cdlac[[#This Row],[Quantity]]&gt;0,AND(Application!AK734&lt;&gt;"N/A",Application!AK734&lt;&gt;"")*Cdlac[[#This Row],[Quantity]],"")</f>
        <v/>
      </c>
      <c r="T40" s="1085" t="b">
        <f>AND('Subsidy Contract Calculation'!F24&gt;0,'Subsidy Contract Calculation'!C24="Federal",Cdlac[[#This Row],[Quantity]]&gt;0)</f>
        <v>0</v>
      </c>
    </row>
    <row r="41" spans="2:20" ht="15" customHeight="1">
      <c r="L41" s="1085" t="str">
        <f>IFERROR(MIN(4,MATCH(Application!B735,UnitSizes,0)-1),"")</f>
        <v/>
      </c>
      <c r="M41" s="1107">
        <f>Application!G735</f>
        <v>0</v>
      </c>
      <c r="N41" s="1115">
        <f>Application!AC735</f>
        <v>0</v>
      </c>
      <c r="O41" s="1115" t="str">
        <f>IF(Cdlac[[#This Row],[Quantity]]&gt;0,IF(Cdlac[[#This Row],[Federal]],30%,IF($G$36,40%,Cdlac[[#This Row],[iAMI]])),"")</f>
        <v/>
      </c>
      <c r="P41" s="1107" t="str" cm="1">
        <f t="array" ref="P41">IF(Cdlac[[#This Row],[Quantity]]&gt;0,INDEX(TcacRents,$P$18,Cdlac[[#This Row],[Bedrooms]]+1)*Cdlac[[#This Row],[AMI]],"")</f>
        <v/>
      </c>
      <c r="Q41" s="1107" t="str" cm="1">
        <f t="array" ref="Q41">IF(Cdlac[[#This Row],[Quantity]]&gt;0,INDEX(HudFmrs,$P$18,Cdlac[[#This Row],[Bedrooms]]+1),"")</f>
        <v/>
      </c>
      <c r="R41" s="1107" t="str">
        <f>IF(Cdlac[[#This Row],[Quantity]]&gt;0,MAX(0,Cdlac[[#This Row],[Fair Market Rent]]-Cdlac[[#This Row],[Restricted Rent]]),"")</f>
        <v/>
      </c>
      <c r="S41" s="1085" t="str">
        <f>IF(Cdlac[[#This Row],[Quantity]]&gt;0,AND(Application!AK735&lt;&gt;"N/A",Application!AK735&lt;&gt;"")*Cdlac[[#This Row],[Quantity]],"")</f>
        <v/>
      </c>
      <c r="T41" s="1085" t="b">
        <f>AND('Subsidy Contract Calculation'!F25&gt;0,'Subsidy Contract Calculation'!C25="Federal",Cdlac[[#This Row],[Quantity]]&gt;0)</f>
        <v>0</v>
      </c>
    </row>
    <row r="42" spans="2:20" ht="15" customHeight="1">
      <c r="B42" s="1110" t="str">
        <f>B11</f>
        <v>C. Special Needs Population Benefit</v>
      </c>
      <c r="C42" s="1111"/>
      <c r="D42" s="1111"/>
      <c r="E42" s="1111"/>
      <c r="F42" s="1111"/>
      <c r="G42" s="1111"/>
      <c r="H42" s="1111"/>
      <c r="I42" s="1112"/>
      <c r="L42" s="1085" t="str">
        <f>IFERROR(MIN(4,MATCH(Application!B736,UnitSizes,0)-1),"")</f>
        <v/>
      </c>
      <c r="M42" s="1107">
        <f>Application!G736</f>
        <v>0</v>
      </c>
      <c r="N42" s="1115">
        <f>Application!AC736</f>
        <v>0</v>
      </c>
      <c r="O42" s="1115" t="str">
        <f>IF(Cdlac[[#This Row],[Quantity]]&gt;0,IF(Cdlac[[#This Row],[Federal]],30%,IF($G$36,40%,Cdlac[[#This Row],[iAMI]])),"")</f>
        <v/>
      </c>
      <c r="P42" s="1107" t="str" cm="1">
        <f t="array" ref="P42">IF(Cdlac[[#This Row],[Quantity]]&gt;0,INDEX(TcacRents,$P$18,Cdlac[[#This Row],[Bedrooms]]+1)*Cdlac[[#This Row],[AMI]],"")</f>
        <v/>
      </c>
      <c r="Q42" s="1107" t="str" cm="1">
        <f t="array" ref="Q42">IF(Cdlac[[#This Row],[Quantity]]&gt;0,INDEX(HudFmrs,$P$18,Cdlac[[#This Row],[Bedrooms]]+1),"")</f>
        <v/>
      </c>
      <c r="R42" s="1107" t="str">
        <f>IF(Cdlac[[#This Row],[Quantity]]&gt;0,MAX(0,Cdlac[[#This Row],[Fair Market Rent]]-Cdlac[[#This Row],[Restricted Rent]]),"")</f>
        <v/>
      </c>
      <c r="S42" s="1085" t="str">
        <f>IF(Cdlac[[#This Row],[Quantity]]&gt;0,AND(Application!AK736&lt;&gt;"N/A",Application!AK736&lt;&gt;"")*Cdlac[[#This Row],[Quantity]],"")</f>
        <v/>
      </c>
      <c r="T42" s="1085" t="b">
        <f>AND('Subsidy Contract Calculation'!F26&gt;0,'Subsidy Contract Calculation'!C26="Federal",Cdlac[[#This Row],[Quantity]]&gt;0)</f>
        <v>0</v>
      </c>
    </row>
    <row r="43" spans="2:20" ht="15" customHeight="1">
      <c r="L43" s="1085" t="str">
        <f>IFERROR(MIN(4,MATCH(Application!B737,UnitSizes,0)-1),"")</f>
        <v/>
      </c>
      <c r="M43" s="1107">
        <f>Application!G737</f>
        <v>0</v>
      </c>
      <c r="N43" s="1115">
        <f>Application!AC737</f>
        <v>0</v>
      </c>
      <c r="O43" s="1115" t="str">
        <f>IF(Cdlac[[#This Row],[Quantity]]&gt;0,IF(Cdlac[[#This Row],[Federal]],30%,IF($G$36,40%,Cdlac[[#This Row],[iAMI]])),"")</f>
        <v/>
      </c>
      <c r="P43" s="1107" t="str" cm="1">
        <f t="array" ref="P43">IF(Cdlac[[#This Row],[Quantity]]&gt;0,INDEX(TcacRents,$P$18,Cdlac[[#This Row],[Bedrooms]]+1)*Cdlac[[#This Row],[AMI]],"")</f>
        <v/>
      </c>
      <c r="Q43" s="1107" t="str" cm="1">
        <f t="array" ref="Q43">IF(Cdlac[[#This Row],[Quantity]]&gt;0,INDEX(HudFmrs,$P$18,Cdlac[[#This Row],[Bedrooms]]+1),"")</f>
        <v/>
      </c>
      <c r="R43" s="1107" t="str">
        <f>IF(Cdlac[[#This Row],[Quantity]]&gt;0,MAX(0,Cdlac[[#This Row],[Fair Market Rent]]-Cdlac[[#This Row],[Restricted Rent]]),"")</f>
        <v/>
      </c>
      <c r="S43" s="1085" t="str">
        <f>IF(Cdlac[[#This Row],[Quantity]]&gt;0,AND(Application!AK737&lt;&gt;"N/A",Application!AK737&lt;&gt;"")*Cdlac[[#This Row],[Quantity]],"")</f>
        <v/>
      </c>
      <c r="T43" s="1085" t="b">
        <f>AND('Subsidy Contract Calculation'!F27&gt;0,'Subsidy Contract Calculation'!C27="Federal",Cdlac[[#This Row],[Quantity]]&gt;0)</f>
        <v>0</v>
      </c>
    </row>
    <row r="44" spans="2:20" ht="15" customHeight="1">
      <c r="E44" s="1165" t="s">
        <v>2385</v>
      </c>
      <c r="G44" s="1173">
        <f>S18</f>
        <v>0</v>
      </c>
      <c r="L44" s="1085" t="str">
        <f>IFERROR(MIN(4,MATCH(Application!B738,UnitSizes,0)-1),"")</f>
        <v/>
      </c>
      <c r="M44" s="1107">
        <f>Application!G738</f>
        <v>0</v>
      </c>
      <c r="N44" s="1115">
        <f>Application!AC738</f>
        <v>0</v>
      </c>
      <c r="O44" s="1126" t="str">
        <f>IF(Cdlac[[#This Row],[Quantity]]&gt;0,IF(Cdlac[[#This Row],[Federal]],30%,IF($G$36,40%,Cdlac[[#This Row],[iAMI]])),"")</f>
        <v/>
      </c>
      <c r="P44" s="1107" t="str" cm="1">
        <f t="array" ref="P44">IF(Cdlac[[#This Row],[Quantity]]&gt;0,INDEX(TcacRents,$P$18,Cdlac[[#This Row],[Bedrooms]]+1)*Cdlac[[#This Row],[AMI]],"")</f>
        <v/>
      </c>
      <c r="Q44" s="1107" t="str" cm="1">
        <f t="array" ref="Q44">IF(Cdlac[[#This Row],[Quantity]]&gt;0,INDEX(HudFmrs,$P$18,Cdlac[[#This Row],[Bedrooms]]+1),"")</f>
        <v/>
      </c>
      <c r="R44" s="1107" t="str">
        <f>IF(Cdlac[[#This Row],[Quantity]]&gt;0,MAX(0,Cdlac[[#This Row],[Fair Market Rent]]-Cdlac[[#This Row],[Restricted Rent]]),"")</f>
        <v/>
      </c>
      <c r="S44" s="1085" t="str">
        <f>IF(Cdlac[[#This Row],[Quantity]]&gt;0,AND(Application!AK738&lt;&gt;"N/A",Application!AK738&lt;&gt;"")*Cdlac[[#This Row],[Quantity]],"")</f>
        <v/>
      </c>
      <c r="T44" s="1085" t="b">
        <f>AND('Subsidy Contract Calculation'!F28&gt;0,'Subsidy Contract Calculation'!C28="Federal",Cdlac[[#This Row],[Quantity]]&gt;0)</f>
        <v>0</v>
      </c>
    </row>
    <row r="45" spans="2:20" ht="15" customHeight="1">
      <c r="E45" s="1165" t="s">
        <v>2386</v>
      </c>
      <c r="G45" s="1173">
        <f>ROUNDDOWN(E27*50%,0)</f>
        <v>97</v>
      </c>
    </row>
    <row r="46" spans="2:20" ht="15" customHeight="1">
      <c r="E46" s="1165"/>
      <c r="G46" s="1173"/>
    </row>
    <row r="47" spans="2:20" ht="15" customHeight="1">
      <c r="E47" s="1165" t="s">
        <v>2337</v>
      </c>
      <c r="G47" s="1162">
        <f>MIN(G44:G45)</f>
        <v>0</v>
      </c>
    </row>
    <row r="48" spans="2:20" ht="15" customHeight="1">
      <c r="E48" s="1165" t="s">
        <v>2327</v>
      </c>
      <c r="F48" s="1161" t="s">
        <v>2384</v>
      </c>
      <c r="G48" s="1172">
        <v>10000</v>
      </c>
    </row>
    <row r="49" spans="2:14" ht="15" customHeight="1">
      <c r="E49" s="1166" t="s">
        <v>2367</v>
      </c>
      <c r="F49" s="1087"/>
      <c r="G49" s="1171">
        <f>G47*G48</f>
        <v>0</v>
      </c>
    </row>
    <row r="50" spans="2:14" ht="15" customHeight="1"/>
    <row r="51" spans="2:14" ht="15" customHeight="1">
      <c r="B51" s="1110" t="str">
        <f>B12</f>
        <v>D. Extremely Low Income Benefit</v>
      </c>
      <c r="C51" s="1111"/>
      <c r="D51" s="1111"/>
      <c r="E51" s="1111"/>
      <c r="F51" s="1111"/>
      <c r="G51" s="1111"/>
      <c r="H51" s="1111"/>
      <c r="I51" s="1112"/>
    </row>
    <row r="52" spans="2:14" ht="15" customHeight="1"/>
    <row r="53" spans="2:14" ht="15" customHeight="1">
      <c r="E53" s="1165" t="s">
        <v>2387</v>
      </c>
      <c r="G53" s="1123">
        <f>SUMIFS(Cdlac[Quantity],Cdlac[iAMI],"&lt;=30%")</f>
        <v>20</v>
      </c>
    </row>
    <row r="54" spans="2:14" ht="15" customHeight="1">
      <c r="E54" s="1165" t="s">
        <v>2386</v>
      </c>
      <c r="G54" s="1123">
        <f>ROUNDDOWN(E27*50%,0)</f>
        <v>97</v>
      </c>
    </row>
    <row r="55" spans="2:14" ht="15" customHeight="1">
      <c r="E55" s="1165"/>
      <c r="G55" s="1123"/>
    </row>
    <row r="56" spans="2:14" ht="15" customHeight="1">
      <c r="E56" s="1165" t="s">
        <v>2337</v>
      </c>
      <c r="G56" s="1162">
        <f>MIN(G53:G54)</f>
        <v>20</v>
      </c>
    </row>
    <row r="57" spans="2:14" ht="15" customHeight="1">
      <c r="E57" s="1165" t="s">
        <v>2327</v>
      </c>
      <c r="F57" s="1161" t="s">
        <v>2384</v>
      </c>
      <c r="G57" s="1172">
        <v>20000</v>
      </c>
    </row>
    <row r="58" spans="2:14" ht="15" customHeight="1">
      <c r="E58" s="1166" t="s">
        <v>2366</v>
      </c>
      <c r="F58" s="1087"/>
      <c r="G58" s="1171">
        <f>G56*G57</f>
        <v>400000</v>
      </c>
    </row>
    <row r="59" spans="2:14" ht="15" customHeight="1"/>
    <row r="60" spans="2:14" ht="15" customHeight="1">
      <c r="B60" s="1110" t="str">
        <f>B13</f>
        <v>E. Sustainability Benefit</v>
      </c>
      <c r="C60" s="1111"/>
      <c r="D60" s="1111"/>
      <c r="E60" s="1111"/>
      <c r="F60" s="1111"/>
      <c r="G60" s="1111"/>
      <c r="H60" s="1111"/>
      <c r="I60" s="1112"/>
    </row>
    <row r="61" spans="2:14" ht="15" customHeight="1" thickBot="1"/>
    <row r="62" spans="2:14" ht="15" customHeight="1">
      <c r="E62" s="1130" t="s">
        <v>2340</v>
      </c>
      <c r="G62" s="1162">
        <f>VLOOKUP('Points System'!$H$595,'Points System'!$AO$575:$AP$580,2,FALSE)</f>
        <v>4</v>
      </c>
      <c r="L62" s="1175" t="str">
        <f>'Points System'!H627</f>
        <v>(i)</v>
      </c>
      <c r="M62" s="2152" t="s">
        <v>1579</v>
      </c>
      <c r="N62" s="2153"/>
    </row>
    <row r="63" spans="2:14" ht="15" customHeight="1">
      <c r="E63" s="1130" t="s">
        <v>2327</v>
      </c>
      <c r="F63" s="1161" t="s">
        <v>2384</v>
      </c>
      <c r="G63" s="1120">
        <v>4000</v>
      </c>
      <c r="L63" s="1176" t="str">
        <f>'Points System'!H639</f>
        <v>(ii)</v>
      </c>
      <c r="M63" s="2154" t="s">
        <v>2341</v>
      </c>
      <c r="N63" s="2155"/>
    </row>
    <row r="64" spans="2:14" ht="15" customHeight="1">
      <c r="E64" s="1130" t="s">
        <v>2388</v>
      </c>
      <c r="F64" s="1161" t="s">
        <v>2384</v>
      </c>
      <c r="G64" s="1174">
        <f>G27</f>
        <v>248.25</v>
      </c>
      <c r="L64" s="1176" t="str">
        <f>'Points System'!H674</f>
        <v>(iii)</v>
      </c>
      <c r="M64" s="2154" t="s">
        <v>2342</v>
      </c>
      <c r="N64" s="2155"/>
    </row>
    <row r="65" spans="2:14" ht="15" customHeight="1">
      <c r="E65" s="1166" t="s">
        <v>2346</v>
      </c>
      <c r="F65" s="1087"/>
      <c r="G65" s="1171">
        <f>G62*G63*G64</f>
        <v>3972000</v>
      </c>
      <c r="L65" s="1176" t="str">
        <f>'Points System'!H694</f>
        <v>(i)</v>
      </c>
      <c r="M65" s="2154" t="s">
        <v>2343</v>
      </c>
      <c r="N65" s="2155"/>
    </row>
    <row r="66" spans="2:14" ht="15" customHeight="1">
      <c r="C66" s="1121"/>
      <c r="G66" s="1162"/>
      <c r="L66" s="1177" t="str">
        <f>'Points System'!H708</f>
        <v>N/A</v>
      </c>
      <c r="M66" s="2154" t="s">
        <v>1605</v>
      </c>
      <c r="N66" s="2155"/>
    </row>
    <row r="67" spans="2:14" ht="15" customHeight="1">
      <c r="E67" s="1130" t="s">
        <v>2389</v>
      </c>
      <c r="G67" s="1174">
        <f>COUNTIFS(L62:L69,"(i)")</f>
        <v>2</v>
      </c>
      <c r="L67" s="1176" t="str">
        <f>'Points System'!H720</f>
        <v>N/A</v>
      </c>
      <c r="M67" s="2154" t="s">
        <v>2344</v>
      </c>
      <c r="N67" s="2155"/>
    </row>
    <row r="68" spans="2:14" ht="15" customHeight="1">
      <c r="E68" s="1130" t="s">
        <v>2327</v>
      </c>
      <c r="F68" s="1161" t="s">
        <v>2384</v>
      </c>
      <c r="G68" s="1172">
        <v>4000</v>
      </c>
      <c r="L68" s="1176" t="str">
        <f>'Points System'!H736</f>
        <v>(ii)</v>
      </c>
      <c r="M68" s="2154" t="s">
        <v>2345</v>
      </c>
      <c r="N68" s="2155"/>
    </row>
    <row r="69" spans="2:14" ht="15" customHeight="1" thickBot="1">
      <c r="E69" s="1166" t="s">
        <v>2347</v>
      </c>
      <c r="F69" s="1087"/>
      <c r="G69" s="1171">
        <f>G64*G67*G68</f>
        <v>1986000</v>
      </c>
      <c r="L69" s="1178" t="str">
        <f>'Points System'!H748</f>
        <v>(ii)</v>
      </c>
      <c r="M69" s="2160" t="s">
        <v>1608</v>
      </c>
      <c r="N69" s="2161"/>
    </row>
    <row r="70" spans="2:14" ht="15" customHeight="1"/>
    <row r="71" spans="2:14" ht="15" customHeight="1">
      <c r="C71" s="1124" t="s">
        <v>2349</v>
      </c>
    </row>
    <row r="72" spans="2:14" ht="15" customHeight="1">
      <c r="C72" s="1121" t="s">
        <v>2350</v>
      </c>
      <c r="G72" s="1084"/>
    </row>
    <row r="73" spans="2:14" ht="15" customHeight="1">
      <c r="C73" s="1121" t="s">
        <v>2351</v>
      </c>
      <c r="G73" s="1084"/>
    </row>
    <row r="74" spans="2:14" ht="15" customHeight="1">
      <c r="C74" s="1121" t="s">
        <v>2608</v>
      </c>
      <c r="G74" s="1084"/>
    </row>
    <row r="75" spans="2:14" ht="15" customHeight="1">
      <c r="C75" s="1121" t="s">
        <v>2609</v>
      </c>
      <c r="G75" s="1084"/>
    </row>
    <row r="76" spans="2:14" ht="15" customHeight="1"/>
    <row r="77" spans="2:14" ht="15" customHeight="1">
      <c r="B77" s="1122"/>
      <c r="C77" s="1121"/>
      <c r="E77" s="1130" t="s">
        <v>2391</v>
      </c>
      <c r="G77" s="1123" t="b">
        <f>COUNTIFS(G72:G75,"Yes")&gt;=1</f>
        <v>0</v>
      </c>
    </row>
    <row r="78" spans="2:14" ht="15" customHeight="1">
      <c r="E78" s="1121"/>
    </row>
    <row r="79" spans="2:14" ht="15" customHeight="1">
      <c r="E79" s="1130" t="s">
        <v>2388</v>
      </c>
      <c r="F79" s="1161" t="s">
        <v>2384</v>
      </c>
      <c r="G79" s="1162">
        <f>G27</f>
        <v>248.25</v>
      </c>
    </row>
    <row r="80" spans="2:14" ht="15" customHeight="1">
      <c r="E80" s="1130" t="s">
        <v>2327</v>
      </c>
      <c r="F80" s="1161" t="s">
        <v>2384</v>
      </c>
      <c r="G80" s="1172">
        <v>25000</v>
      </c>
    </row>
    <row r="81" spans="2:14" ht="15" customHeight="1">
      <c r="E81" s="1166" t="s">
        <v>2348</v>
      </c>
      <c r="F81" s="1087"/>
      <c r="G81" s="1171">
        <f>G77*G80*G64</f>
        <v>0</v>
      </c>
    </row>
    <row r="82" spans="2:14" ht="15" customHeight="1">
      <c r="C82" s="1121"/>
      <c r="E82" s="1121"/>
    </row>
    <row r="83" spans="2:14" ht="15" customHeight="1">
      <c r="E83" s="1166" t="s">
        <v>2325</v>
      </c>
      <c r="G83" s="1171">
        <f>G81+G69+G65</f>
        <v>5958000</v>
      </c>
    </row>
    <row r="84" spans="2:14" ht="15" customHeight="1"/>
    <row r="85" spans="2:14" ht="15" customHeight="1">
      <c r="B85" s="1110" t="str">
        <f>B14</f>
        <v>F. Opportunity Benefit</v>
      </c>
      <c r="C85" s="1111"/>
      <c r="D85" s="1111"/>
      <c r="E85" s="1111"/>
      <c r="F85" s="1111"/>
      <c r="G85" s="1111"/>
      <c r="H85" s="1111"/>
      <c r="I85" s="1112"/>
    </row>
    <row r="86" spans="2:14" ht="15" customHeight="1" thickBot="1"/>
    <row r="87" spans="2:14" ht="15" customHeight="1">
      <c r="C87" s="1121" t="s">
        <v>2370</v>
      </c>
      <c r="G87" s="1084" t="s">
        <v>555</v>
      </c>
      <c r="L87" s="2162" t="s">
        <v>2354</v>
      </c>
      <c r="M87" s="2163"/>
      <c r="N87" s="1179">
        <v>30000</v>
      </c>
    </row>
    <row r="88" spans="2:14" ht="15" customHeight="1">
      <c r="C88" s="1121" t="s">
        <v>2371</v>
      </c>
      <c r="G88" s="1125" t="str">
        <f>IF(Application!D210="Large Family","Yes","No")</f>
        <v>No</v>
      </c>
      <c r="L88" s="2156" t="s">
        <v>2318</v>
      </c>
      <c r="M88" s="2157"/>
      <c r="N88" s="1180">
        <v>20000</v>
      </c>
    </row>
    <row r="89" spans="2:14" ht="15" customHeight="1" thickBot="1">
      <c r="C89" s="1121" t="s">
        <v>2352</v>
      </c>
      <c r="G89" s="1084" t="s">
        <v>679</v>
      </c>
      <c r="L89" s="2158" t="s">
        <v>2355</v>
      </c>
      <c r="M89" s="2159"/>
      <c r="N89" s="1181">
        <v>10000</v>
      </c>
    </row>
    <row r="90" spans="2:14" ht="15" customHeight="1">
      <c r="C90" s="1121" t="s">
        <v>2353</v>
      </c>
      <c r="G90" s="1085" t="str">
        <f>Application!T193</f>
        <v>Low Resource</v>
      </c>
    </row>
    <row r="91" spans="2:14" ht="15" customHeight="1">
      <c r="C91" s="1121"/>
    </row>
    <row r="92" spans="2:14" ht="15" customHeight="1">
      <c r="E92" s="1130" t="s">
        <v>2391</v>
      </c>
      <c r="G92" s="1123" t="b">
        <f>AND(COUNTIFS(G88:G89,"Yes")&gt;=1,G87="Yes")</f>
        <v>0</v>
      </c>
    </row>
    <row r="93" spans="2:14" ht="15" customHeight="1">
      <c r="E93" s="1130"/>
      <c r="G93" s="1123"/>
    </row>
    <row r="94" spans="2:14" ht="15" customHeight="1">
      <c r="E94" s="1130" t="s">
        <v>2327</v>
      </c>
      <c r="G94" s="1122">
        <f>IFERROR(INDEX(N87:N89,MATCH(LEFT(G90,17),L87:L89,0)),0)</f>
        <v>0</v>
      </c>
    </row>
    <row r="95" spans="2:14" ht="15" customHeight="1">
      <c r="E95" s="1130" t="str">
        <f>E64</f>
        <v>Bedroom-Adjusted Low-Income Units</v>
      </c>
      <c r="F95" s="1161" t="s">
        <v>2384</v>
      </c>
      <c r="G95" s="1162">
        <f>G27</f>
        <v>248.25</v>
      </c>
    </row>
    <row r="96" spans="2:14" ht="15" customHeight="1">
      <c r="D96" s="1087"/>
      <c r="E96" s="1166" t="s">
        <v>2326</v>
      </c>
      <c r="F96" s="1087"/>
      <c r="G96" s="1171">
        <f>G95*G94*G92</f>
        <v>0</v>
      </c>
    </row>
    <row r="97" spans="2:9" ht="15" customHeight="1"/>
    <row r="98" spans="2:9" ht="15" customHeight="1">
      <c r="B98" s="1110" t="s">
        <v>2339</v>
      </c>
      <c r="C98" s="1111"/>
      <c r="D98" s="1111"/>
      <c r="E98" s="1111"/>
      <c r="F98" s="1111"/>
      <c r="G98" s="1111"/>
      <c r="H98" s="1111"/>
      <c r="I98" s="1112"/>
    </row>
    <row r="99" spans="2:9" ht="15" customHeight="1"/>
    <row r="100" spans="2:9" ht="15" customHeight="1">
      <c r="F100" s="1164" t="s">
        <v>2365</v>
      </c>
      <c r="G100" s="1084" t="s">
        <v>555</v>
      </c>
    </row>
    <row r="101" spans="2:9" ht="15" customHeight="1">
      <c r="F101" s="1164"/>
    </row>
    <row r="102" spans="2:9" ht="15" customHeight="1">
      <c r="E102" s="1130" t="s">
        <v>2391</v>
      </c>
      <c r="G102" s="1123" t="b">
        <f>G100="Yes"</f>
        <v>1</v>
      </c>
    </row>
    <row r="103" spans="2:9" ht="15" customHeight="1"/>
    <row r="104" spans="2:9" ht="15" customHeight="1">
      <c r="E104" s="1130" t="str">
        <f>E64</f>
        <v>Bedroom-Adjusted Low-Income Units</v>
      </c>
      <c r="G104" s="1162">
        <f>G27</f>
        <v>248.25</v>
      </c>
    </row>
    <row r="105" spans="2:9" ht="15" customHeight="1">
      <c r="E105" s="1130" t="s">
        <v>2327</v>
      </c>
      <c r="F105" s="1161" t="s">
        <v>2384</v>
      </c>
      <c r="G105" s="1091">
        <v>20000</v>
      </c>
    </row>
    <row r="106" spans="2:9" ht="15" customHeight="1">
      <c r="E106" s="1166" t="s">
        <v>2356</v>
      </c>
      <c r="F106" s="1087"/>
      <c r="G106" s="1171">
        <f>G102*G105*G104</f>
        <v>4965000</v>
      </c>
    </row>
    <row r="107" spans="2:9" ht="15" customHeight="1"/>
    <row r="108" spans="2:9" ht="15" customHeight="1">
      <c r="B108" s="1110" t="s">
        <v>2393</v>
      </c>
      <c r="C108" s="1111"/>
      <c r="D108" s="1111"/>
      <c r="E108" s="1111"/>
      <c r="F108" s="1111"/>
      <c r="G108" s="1111"/>
      <c r="H108" s="1111"/>
      <c r="I108" s="1112"/>
    </row>
    <row r="109" spans="2:9" ht="15" customHeight="1"/>
    <row r="110" spans="2:9" ht="15" customHeight="1">
      <c r="E110" s="1130" t="s">
        <v>592</v>
      </c>
      <c r="G110" s="1085" t="str">
        <f>IF(Application!T189="","",Application!T189)</f>
        <v>Los Angeles</v>
      </c>
    </row>
    <row r="111" spans="2:9" ht="15" customHeight="1">
      <c r="E111" s="1130"/>
      <c r="G111" s="1122"/>
    </row>
    <row r="112" spans="2:9" ht="15" customHeight="1">
      <c r="E112" s="1130" t="str">
        <f>"2-Bedroom "&amp;G110&amp;" County Basis Limit"</f>
        <v>2-Bedroom Los Angeles County Basis Limit</v>
      </c>
      <c r="G112" s="1122">
        <f>Application!R957</f>
        <v>608800</v>
      </c>
    </row>
    <row r="113" spans="4:9" ht="15" customHeight="1">
      <c r="E113" s="1130" t="s">
        <v>2392</v>
      </c>
      <c r="G113" s="1122">
        <f>MEDIAN((Application!BR795:BR852))</f>
        <v>489600</v>
      </c>
    </row>
    <row r="114" spans="4:9" ht="15" customHeight="1">
      <c r="D114" s="1087"/>
      <c r="E114" s="1166" t="s">
        <v>2394</v>
      </c>
      <c r="F114" s="1182"/>
      <c r="G114" s="1183">
        <f>((G112-G113)/G113)*0.25</f>
        <v>6.0866013071895424E-2</v>
      </c>
      <c r="H114" s="1083"/>
      <c r="I114" s="1083"/>
    </row>
    <row r="115" spans="4:9" ht="15" customHeight="1">
      <c r="D115" s="1086"/>
      <c r="E115" s="1086"/>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2023-05-22T16:33:15Z</cp:lastPrinted>
  <dcterms:created xsi:type="dcterms:W3CDTF">2007-12-27T18:26:28Z</dcterms:created>
  <dcterms:modified xsi:type="dcterms:W3CDTF">2023-05-22T18:19:42Z</dcterms:modified>
</cp:coreProperties>
</file>